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90" yWindow="-120" windowWidth="16860" windowHeight="12435"/>
  </bookViews>
  <sheets>
    <sheet name="budget summary 2018" sheetId="11" r:id="rId1"/>
    <sheet name="BASC  " sheetId="9" r:id="rId2"/>
    <sheet name="FASA " sheetId="2" r:id="rId3"/>
    <sheet name="Canteen " sheetId="5" r:id="rId4"/>
    <sheet name="VAC" sheetId="14" r:id="rId5"/>
    <sheet name="Uniform" sheetId="13" r:id="rId6"/>
    <sheet name="Sheet1" sheetId="29" r:id="rId7"/>
  </sheets>
  <definedNames>
    <definedName name="_xlnm._FilterDatabase" localSheetId="1" hidden="1">'BASC  '!$A$3:$B$7</definedName>
    <definedName name="_xlnm.Print_Area" localSheetId="1">'BASC  '!$B$2:$W$60</definedName>
    <definedName name="_xlnm.Print_Area" localSheetId="0">'budget summary 2018'!$B$1:$K$102</definedName>
    <definedName name="_xlnm.Print_Area" localSheetId="3">'Canteen '!$A$1:$O$45</definedName>
    <definedName name="_xlnm.Print_Area" localSheetId="4">VAC!$A$1:$G$46</definedName>
    <definedName name="_xlnm.Print_Titles" localSheetId="0">'budget summary 2018'!$2:$2</definedName>
  </definedNames>
  <calcPr calcId="125725"/>
</workbook>
</file>

<file path=xl/calcChain.xml><?xml version="1.0" encoding="utf-8"?>
<calcChain xmlns="http://schemas.openxmlformats.org/spreadsheetml/2006/main">
  <c r="W55" i="9"/>
  <c r="W56"/>
  <c r="W57"/>
  <c r="W59"/>
  <c r="W54"/>
  <c r="A37" l="1"/>
  <c r="A29"/>
  <c r="A6"/>
  <c r="A10"/>
  <c r="A11"/>
  <c r="A12"/>
  <c r="A13"/>
  <c r="A14"/>
  <c r="A15"/>
  <c r="A19"/>
  <c r="A20"/>
  <c r="A21"/>
  <c r="A22"/>
  <c r="A23"/>
  <c r="A27"/>
  <c r="A28"/>
  <c r="A30"/>
  <c r="A31"/>
  <c r="A32"/>
  <c r="A33"/>
  <c r="A35"/>
  <c r="A36"/>
  <c r="A38"/>
  <c r="A39"/>
  <c r="A40"/>
  <c r="A41"/>
  <c r="A42"/>
  <c r="A43"/>
  <c r="A5"/>
  <c r="L6" i="11" l="1"/>
  <c r="L16"/>
  <c r="L17"/>
  <c r="L22"/>
  <c r="L24"/>
  <c r="L25"/>
  <c r="L33"/>
  <c r="L36"/>
  <c r="L44"/>
  <c r="L53"/>
  <c r="L62"/>
  <c r="L64"/>
  <c r="L70"/>
  <c r="U8" i="5"/>
  <c r="U9"/>
  <c r="U10"/>
  <c r="U16"/>
  <c r="U19"/>
  <c r="U20"/>
  <c r="U21"/>
  <c r="U22"/>
  <c r="U24"/>
  <c r="U26"/>
  <c r="U27"/>
  <c r="U37"/>
  <c r="P3"/>
  <c r="P8" i="2" l="1"/>
  <c r="P9"/>
  <c r="P14"/>
  <c r="P18"/>
  <c r="P19"/>
  <c r="P28"/>
  <c r="P29"/>
  <c r="P31"/>
  <c r="X6" i="9"/>
  <c r="X8"/>
  <c r="X26"/>
  <c r="X18"/>
  <c r="X25"/>
  <c r="X9"/>
  <c r="X34"/>
  <c r="X45"/>
  <c r="X14" l="1"/>
  <c r="X17"/>
  <c r="L51" i="11"/>
  <c r="P16" i="2"/>
  <c r="L68" i="11"/>
  <c r="L67"/>
  <c r="L58" l="1"/>
  <c r="X40" i="9"/>
  <c r="P26" i="2"/>
  <c r="P27" l="1"/>
  <c r="L13" i="11"/>
  <c r="L14"/>
  <c r="Q30" i="9"/>
  <c r="L61" i="11" l="1"/>
  <c r="L40"/>
  <c r="L43"/>
  <c r="X43" i="9" l="1"/>
  <c r="X36"/>
  <c r="L55" i="11"/>
  <c r="L56" l="1"/>
  <c r="X38" i="9"/>
  <c r="L31" i="11" l="1"/>
  <c r="X33" i="9"/>
  <c r="X42"/>
  <c r="Q14" l="1"/>
  <c r="R14" s="1"/>
  <c r="S14" s="1"/>
  <c r="T14" s="1"/>
  <c r="U14" s="1"/>
  <c r="V14" s="1"/>
  <c r="W14" s="1"/>
  <c r="L12" i="11"/>
  <c r="L9" l="1"/>
  <c r="X28" i="9"/>
  <c r="L18" i="11" l="1"/>
  <c r="R42" i="9"/>
  <c r="S42"/>
  <c r="X11" l="1"/>
  <c r="X13"/>
  <c r="X31"/>
  <c r="X23"/>
  <c r="L7" i="11"/>
  <c r="L29" l="1"/>
  <c r="L46"/>
  <c r="L41"/>
  <c r="X27" i="9"/>
  <c r="T3" l="1"/>
  <c r="T42" s="1"/>
  <c r="V45" l="1"/>
  <c r="W45" s="1"/>
  <c r="V17"/>
  <c r="W17" s="1"/>
  <c r="V34"/>
  <c r="W34" s="1"/>
  <c r="U13"/>
  <c r="T13"/>
  <c r="S13"/>
  <c r="R13"/>
  <c r="U11"/>
  <c r="T11"/>
  <c r="S11"/>
  <c r="R11"/>
  <c r="U31"/>
  <c r="T31"/>
  <c r="S31"/>
  <c r="R31"/>
  <c r="U23"/>
  <c r="T23"/>
  <c r="S23"/>
  <c r="R23"/>
  <c r="V18"/>
  <c r="W18" s="1"/>
  <c r="V28"/>
  <c r="W28" s="1"/>
  <c r="W26"/>
  <c r="W8"/>
  <c r="U3"/>
  <c r="U42" s="1"/>
  <c r="Q3"/>
  <c r="U25" i="5"/>
  <c r="U3" i="2"/>
  <c r="T3"/>
  <c r="S3"/>
  <c r="R3"/>
  <c r="S25" i="5"/>
  <c r="Q25"/>
  <c r="R22"/>
  <c r="S22"/>
  <c r="T22"/>
  <c r="Q22"/>
  <c r="T3"/>
  <c r="S3"/>
  <c r="R3"/>
  <c r="Q3"/>
  <c r="R16" i="2"/>
  <c r="S16"/>
  <c r="T16"/>
  <c r="U16"/>
  <c r="P17" l="1"/>
  <c r="W3"/>
  <c r="U15"/>
  <c r="T17"/>
  <c r="L11" i="11"/>
  <c r="S10" i="2"/>
  <c r="U10"/>
  <c r="T15"/>
  <c r="R15"/>
  <c r="S15"/>
  <c r="T10"/>
  <c r="V11" i="9"/>
  <c r="W11" s="1"/>
  <c r="S17" i="2"/>
  <c r="U17"/>
  <c r="W13" i="9"/>
  <c r="W16" i="2"/>
  <c r="R17"/>
  <c r="V3" i="9"/>
  <c r="T6"/>
  <c r="V23"/>
  <c r="W23" s="1"/>
  <c r="V31"/>
  <c r="W31" s="1"/>
  <c r="W3"/>
  <c r="S6"/>
  <c r="U6"/>
  <c r="V42"/>
  <c r="W42" s="1"/>
  <c r="R6"/>
  <c r="L57" i="11" l="1"/>
  <c r="W17" i="2"/>
  <c r="W15"/>
  <c r="P15"/>
  <c r="U11" i="5"/>
  <c r="U6"/>
  <c r="U5"/>
  <c r="P23" i="2"/>
  <c r="X39" i="9"/>
  <c r="P20" i="2"/>
  <c r="P21"/>
  <c r="P22"/>
  <c r="L50" i="11"/>
  <c r="L49"/>
  <c r="U34" i="5"/>
  <c r="U31"/>
  <c r="U35"/>
  <c r="U32"/>
  <c r="X10" i="9"/>
  <c r="T21" i="2"/>
  <c r="R11" i="5"/>
  <c r="S20" i="2"/>
  <c r="S22"/>
  <c r="R22"/>
  <c r="U12" i="9"/>
  <c r="R12"/>
  <c r="S12"/>
  <c r="T12"/>
  <c r="U20" i="2"/>
  <c r="R20"/>
  <c r="U22"/>
  <c r="U21"/>
  <c r="T20"/>
  <c r="S13"/>
  <c r="S5"/>
  <c r="S20" i="9"/>
  <c r="U20"/>
  <c r="U39"/>
  <c r="V6"/>
  <c r="W6" s="1"/>
  <c r="U21"/>
  <c r="U19"/>
  <c r="T20"/>
  <c r="R20"/>
  <c r="R13" i="5"/>
  <c r="Q11"/>
  <c r="S11"/>
  <c r="Q20"/>
  <c r="S20"/>
  <c r="T20"/>
  <c r="R20"/>
  <c r="U5" i="2"/>
  <c r="S5" i="5"/>
  <c r="S7" s="1"/>
  <c r="Q5"/>
  <c r="Q7" s="1"/>
  <c r="T7" i="2"/>
  <c r="T5"/>
  <c r="U10" i="9"/>
  <c r="R10"/>
  <c r="T5" i="5"/>
  <c r="T7" s="1"/>
  <c r="T11"/>
  <c r="R5"/>
  <c r="R7" s="1"/>
  <c r="S13"/>
  <c r="T39" i="9"/>
  <c r="T10"/>
  <c r="T21"/>
  <c r="T19"/>
  <c r="R21"/>
  <c r="R19"/>
  <c r="S39"/>
  <c r="R39"/>
  <c r="S10"/>
  <c r="S21"/>
  <c r="S19"/>
  <c r="S7" i="2"/>
  <c r="R21"/>
  <c r="T22"/>
  <c r="S21"/>
  <c r="T13" i="5" l="1"/>
  <c r="Q13"/>
  <c r="U13"/>
  <c r="X12" i="9"/>
  <c r="R13" i="2"/>
  <c r="P12"/>
  <c r="P13"/>
  <c r="U12" i="5"/>
  <c r="L34" i="11"/>
  <c r="L38"/>
  <c r="X21" i="9"/>
  <c r="U7" i="5"/>
  <c r="L48" i="11"/>
  <c r="U13" i="2"/>
  <c r="X35" i="9"/>
  <c r="X20"/>
  <c r="X19"/>
  <c r="L19" i="11"/>
  <c r="L37"/>
  <c r="L8"/>
  <c r="V12" i="9"/>
  <c r="W12" s="1"/>
  <c r="T38"/>
  <c r="S35"/>
  <c r="T35"/>
  <c r="W20" i="2"/>
  <c r="R12"/>
  <c r="S12"/>
  <c r="U38" i="9"/>
  <c r="V10"/>
  <c r="W10" s="1"/>
  <c r="R35"/>
  <c r="U35"/>
  <c r="T12" i="2"/>
  <c r="T13"/>
  <c r="U12"/>
  <c r="T18" i="5"/>
  <c r="Q18"/>
  <c r="R18"/>
  <c r="S18"/>
  <c r="S38" i="9"/>
  <c r="U7" i="2"/>
  <c r="V20" i="9"/>
  <c r="W20" s="1"/>
  <c r="U5"/>
  <c r="S5"/>
  <c r="S7"/>
  <c r="R5"/>
  <c r="T5"/>
  <c r="V39"/>
  <c r="W39" s="1"/>
  <c r="S32"/>
  <c r="U32"/>
  <c r="R38"/>
  <c r="V19"/>
  <c r="W19" s="1"/>
  <c r="V21"/>
  <c r="W21" s="1"/>
  <c r="T32"/>
  <c r="U7"/>
  <c r="R32"/>
  <c r="T7"/>
  <c r="W22" i="2"/>
  <c r="W21"/>
  <c r="U15" i="5" l="1"/>
  <c r="U14"/>
  <c r="X5" i="9"/>
  <c r="U18" i="5"/>
  <c r="L39" i="11"/>
  <c r="L47"/>
  <c r="R7" i="9"/>
  <c r="V7" s="1"/>
  <c r="L30" i="11"/>
  <c r="X32" i="9"/>
  <c r="L45" i="11"/>
  <c r="V38" i="9"/>
  <c r="W38" s="1"/>
  <c r="W12" i="2"/>
  <c r="V35" i="9"/>
  <c r="W35" s="1"/>
  <c r="W13" i="2"/>
  <c r="V5" i="9"/>
  <c r="W5" s="1"/>
  <c r="V32"/>
  <c r="W32" s="1"/>
  <c r="T27"/>
  <c r="T30" s="1"/>
  <c r="U27"/>
  <c r="U30" s="1"/>
  <c r="R27"/>
  <c r="R30" s="1"/>
  <c r="S27"/>
  <c r="S30" s="1"/>
  <c r="X7" l="1"/>
  <c r="P24" i="2"/>
  <c r="W7" i="9"/>
  <c r="L4" i="11"/>
  <c r="R24" i="2"/>
  <c r="L60" i="11"/>
  <c r="T24" i="2"/>
  <c r="T30" s="1"/>
  <c r="T32" s="1"/>
  <c r="S24"/>
  <c r="S30" s="1"/>
  <c r="S32" s="1"/>
  <c r="U24"/>
  <c r="V27" i="9"/>
  <c r="X30" l="1"/>
  <c r="W27"/>
  <c r="W30" s="1"/>
  <c r="V30"/>
  <c r="W24" i="2"/>
  <c r="U30"/>
  <c r="U32" s="1"/>
  <c r="L26" i="11" l="1"/>
  <c r="L28"/>
  <c r="L27"/>
  <c r="T35" i="5" l="1"/>
  <c r="S35"/>
  <c r="Q35"/>
  <c r="R35"/>
  <c r="X22" i="9" l="1"/>
  <c r="T22"/>
  <c r="T44" s="1"/>
  <c r="T46" s="1"/>
  <c r="U22"/>
  <c r="U44" s="1"/>
  <c r="U46" s="1"/>
  <c r="R22"/>
  <c r="R44" s="1"/>
  <c r="S22"/>
  <c r="S44" s="1"/>
  <c r="S46" s="1"/>
  <c r="X46" l="1"/>
  <c r="X44"/>
  <c r="V22"/>
  <c r="W22" s="1"/>
  <c r="V44"/>
  <c r="W44" s="1"/>
  <c r="R46"/>
  <c r="V46" s="1"/>
  <c r="W46" s="1"/>
  <c r="S28" i="5" l="1"/>
  <c r="R28"/>
  <c r="Q28"/>
  <c r="T28"/>
  <c r="R29"/>
  <c r="Q29"/>
  <c r="S29"/>
  <c r="S36" s="1"/>
  <c r="T29"/>
  <c r="L54" i="11" l="1"/>
  <c r="U29" i="5"/>
  <c r="U30"/>
  <c r="U28"/>
  <c r="R36"/>
  <c r="T36"/>
  <c r="Q36"/>
  <c r="U38" l="1"/>
  <c r="U36"/>
  <c r="R38"/>
  <c r="Q38"/>
  <c r="S38"/>
  <c r="T38" l="1"/>
  <c r="L20" i="11" l="1"/>
  <c r="L21" l="1"/>
  <c r="R5" i="2" l="1"/>
  <c r="R7"/>
  <c r="L15" i="11" l="1"/>
  <c r="W7" i="2"/>
  <c r="P7"/>
  <c r="W5"/>
  <c r="L5" i="11" l="1"/>
  <c r="L23" l="1"/>
  <c r="R10" i="2" l="1"/>
  <c r="R30" s="1"/>
  <c r="R32" s="1"/>
  <c r="P30" l="1"/>
  <c r="W30"/>
  <c r="W32"/>
  <c r="W10"/>
  <c r="P32" l="1"/>
  <c r="L35" i="11" l="1"/>
  <c r="L63"/>
  <c r="L65" l="1"/>
  <c r="L71" l="1"/>
</calcChain>
</file>

<file path=xl/comments1.xml><?xml version="1.0" encoding="utf-8"?>
<comments xmlns="http://schemas.openxmlformats.org/spreadsheetml/2006/main">
  <authors>
    <author>Kate</author>
  </authors>
  <commentList>
    <comment ref="C45" authorId="0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includes flexischools
should this be separate line item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Need to work out what this should be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Driven by separate spreadsheet that allocates these costs across all sections of the business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Kate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non-cash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 new computers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printer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washing machine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freezer for kitchen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supply and instal new bubbler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trailer
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15% of salaries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Driven by separate spreadsheet that allocates these costs across all sections of the business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daily roll stats Jan to Sept 2017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Kate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Not open wk1 T1, wk 10 T4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Haven't changed since last year</t>
        </r>
      </text>
    </comment>
    <comment ref="A24" authorId="1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based on 2 freezers ($4K), dishwasher ($1.5K), double oven ($2.5K) over 10 years = $800pa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Kate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from 8 Jan to end 2 Feb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anzac day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 water based excursions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Based on average per attendance stats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not often charged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per overheads work sheet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See VAC staff costing</t>
        </r>
      </text>
    </comment>
  </commentList>
</comments>
</file>

<file path=xl/comments5.xml><?xml version="1.0" encoding="utf-8"?>
<comments xmlns="http://schemas.openxmlformats.org/spreadsheetml/2006/main">
  <authors>
    <author>Kate</author>
    <author>admin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$35K to end Sept this year</t>
        </r>
      </text>
    </comment>
    <comment ref="B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$29K to end Sept this year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Kate:</t>
        </r>
        <r>
          <rPr>
            <sz val="9"/>
            <color indexed="81"/>
            <rFont val="Tahoma"/>
            <family val="2"/>
          </rPr>
          <t xml:space="preserve">
Based on actual 2013 T1-T3, averaged for 4 terms</t>
        </r>
      </text>
    </comment>
  </commentList>
</comments>
</file>

<file path=xl/sharedStrings.xml><?xml version="1.0" encoding="utf-8"?>
<sst xmlns="http://schemas.openxmlformats.org/spreadsheetml/2006/main" count="367" uniqueCount="237">
  <si>
    <t>Accounting and Audit Fees</t>
  </si>
  <si>
    <t>Equipment</t>
  </si>
  <si>
    <t>Food</t>
  </si>
  <si>
    <t>Rent</t>
  </si>
  <si>
    <t>Repairs and Maintenance</t>
  </si>
  <si>
    <t>Staff Training</t>
  </si>
  <si>
    <t>Superannuation</t>
  </si>
  <si>
    <t>Wages and Salaries</t>
  </si>
  <si>
    <t>Staff Activities</t>
  </si>
  <si>
    <t>Expenses</t>
  </si>
  <si>
    <t>Income</t>
  </si>
  <si>
    <t>Interest Earned</t>
  </si>
  <si>
    <t>Total</t>
  </si>
  <si>
    <t>Debtor Receipts</t>
  </si>
  <si>
    <t>Permanent bookings</t>
  </si>
  <si>
    <t>Casuals</t>
  </si>
  <si>
    <t>Days</t>
  </si>
  <si>
    <t>consumables not new equipment and resource books etc per week</t>
  </si>
  <si>
    <t>fruit</t>
  </si>
  <si>
    <t>groceries</t>
  </si>
  <si>
    <t>cleaning</t>
  </si>
  <si>
    <t>games</t>
  </si>
  <si>
    <t>sport</t>
  </si>
  <si>
    <t>office</t>
  </si>
  <si>
    <t>toys</t>
  </si>
  <si>
    <t>Excursions</t>
  </si>
  <si>
    <t>Wages</t>
  </si>
  <si>
    <t>Stationery</t>
  </si>
  <si>
    <t>TOTAL INCOME</t>
  </si>
  <si>
    <t>Christmas party</t>
  </si>
  <si>
    <t>TOTAL EXPENDITURE</t>
  </si>
  <si>
    <t>Activities and craft</t>
  </si>
  <si>
    <t>Craft supplies</t>
  </si>
  <si>
    <t>Insurance</t>
  </si>
  <si>
    <t>per day</t>
  </si>
  <si>
    <t>Term 1</t>
  </si>
  <si>
    <t>Term 2</t>
  </si>
  <si>
    <t>Term 3</t>
  </si>
  <si>
    <t>Term 4</t>
  </si>
  <si>
    <t>Surplus/loss</t>
  </si>
  <si>
    <t>Super</t>
  </si>
  <si>
    <t>Activities Income</t>
  </si>
  <si>
    <t>Admin Costs/sundries/refunds</t>
  </si>
  <si>
    <t>First Aid Materials</t>
  </si>
  <si>
    <t>Wages &amp; Salaries</t>
  </si>
  <si>
    <t>Overheads</t>
  </si>
  <si>
    <t>Year total</t>
  </si>
  <si>
    <t>Bank fees (EFTPOS)</t>
  </si>
  <si>
    <t>FASA</t>
  </si>
  <si>
    <t>Canteen</t>
  </si>
  <si>
    <t>Food income</t>
  </si>
  <si>
    <t>Bank Fees</t>
  </si>
  <si>
    <t>Memberships</t>
  </si>
  <si>
    <t>Training</t>
  </si>
  <si>
    <t>Uniforms</t>
  </si>
  <si>
    <t>Cross Check</t>
  </si>
  <si>
    <t>Other costs</t>
  </si>
  <si>
    <t>Overheads (Lumpies)</t>
  </si>
  <si>
    <t>#</t>
  </si>
  <si>
    <t>BSC</t>
  </si>
  <si>
    <t>casuals</t>
  </si>
  <si>
    <t>per hd/day</t>
  </si>
  <si>
    <t>Telephone/ internet</t>
  </si>
  <si>
    <t>Childrens toys books etc</t>
  </si>
  <si>
    <t>bus hire for 4 excursions</t>
  </si>
  <si>
    <t>Subscriptions</t>
  </si>
  <si>
    <t>VAC</t>
  </si>
  <si>
    <t>repairs and maintenance</t>
  </si>
  <si>
    <t>Special lunch orders</t>
  </si>
  <si>
    <t>Special lunch order food</t>
  </si>
  <si>
    <t>BASC</t>
  </si>
  <si>
    <t>Consumables</t>
  </si>
  <si>
    <t>Depreciation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</si>
  <si>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</si>
  <si>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</si>
  <si>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</si>
  <si>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</si>
  <si>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</si>
  <si>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</si>
  <si>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</si>
  <si>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</si>
  <si>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</si>
  <si>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</si>
  <si>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</si>
  <si>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</si>
  <si>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Activities contracts</t>
  </si>
  <si>
    <t>Canteen sales</t>
  </si>
  <si>
    <t>Cost of sales</t>
  </si>
  <si>
    <t>TOTAL COST OF SALES</t>
  </si>
  <si>
    <t>GROSS PROFIT</t>
  </si>
  <si>
    <t>Net contribution</t>
  </si>
  <si>
    <t>Total expenses</t>
  </si>
  <si>
    <t>bus (per day)</t>
  </si>
  <si>
    <t>Excursion</t>
  </si>
  <si>
    <t>food</t>
  </si>
  <si>
    <t>craft</t>
  </si>
  <si>
    <t>$ per day per child</t>
  </si>
  <si>
    <t>total for year</t>
  </si>
  <si>
    <t>Total income</t>
  </si>
  <si>
    <t>excursion charge</t>
  </si>
  <si>
    <t>late surcharge</t>
  </si>
  <si>
    <t>base rate</t>
  </si>
  <si>
    <t>$ per child</t>
  </si>
  <si>
    <t>Attendees</t>
  </si>
  <si>
    <t>In house days</t>
  </si>
  <si>
    <t>Excursion days</t>
  </si>
  <si>
    <t>Total days</t>
  </si>
  <si>
    <t>Summer</t>
  </si>
  <si>
    <t>Cost drivers</t>
  </si>
  <si>
    <t>Item</t>
  </si>
  <si>
    <t>Sales</t>
  </si>
  <si>
    <t>Stock</t>
  </si>
  <si>
    <t>Flexischools fees</t>
  </si>
  <si>
    <t>$</t>
  </si>
  <si>
    <t>Uniform sales</t>
  </si>
  <si>
    <t>Other</t>
  </si>
  <si>
    <t>now $350 per bus hire</t>
  </si>
  <si>
    <t>Key assumptions of budget:</t>
  </si>
  <si>
    <t>Total $</t>
  </si>
  <si>
    <t>Telephone and internet</t>
  </si>
  <si>
    <t>Sales and costs based on prior year actuals</t>
  </si>
  <si>
    <t>Uniform</t>
  </si>
  <si>
    <t>super</t>
  </si>
  <si>
    <t># kids</t>
  </si>
  <si>
    <t>$ per kid</t>
  </si>
  <si>
    <t>Manager wages</t>
  </si>
  <si>
    <t>on costs</t>
  </si>
  <si>
    <t>On-costs</t>
  </si>
  <si>
    <t>Sales and costs based on historical sales</t>
  </si>
  <si>
    <t>Rent of office</t>
  </si>
  <si>
    <t>P&amp;C Business</t>
  </si>
  <si>
    <t>Donations to school</t>
  </si>
  <si>
    <t>Employee expenses</t>
  </si>
  <si>
    <t>Administration expenses</t>
  </si>
  <si>
    <t>Bookkeeping fees</t>
  </si>
  <si>
    <t>Operating surplus/(loss)</t>
  </si>
  <si>
    <t>TOTAL SURPLUS/(LOSS)</t>
  </si>
  <si>
    <t xml:space="preserve">Rubbish removal </t>
  </si>
  <si>
    <t>Music lessons</t>
  </si>
  <si>
    <t>Activities fees</t>
  </si>
  <si>
    <t>Music teaching contracts</t>
  </si>
  <si>
    <t xml:space="preserve">Childrens services costs </t>
  </si>
  <si>
    <t>Executive wages</t>
  </si>
  <si>
    <t>Executive Superannuation</t>
  </si>
  <si>
    <t>Executive On costs</t>
  </si>
  <si>
    <t>Executive on costs</t>
  </si>
  <si>
    <t>LSL&amp;workers comp insurance</t>
  </si>
  <si>
    <t>Staff meetings</t>
  </si>
  <si>
    <t>Childrens services costs</t>
  </si>
  <si>
    <t>on-costs</t>
  </si>
  <si>
    <t>Second hand  sales</t>
  </si>
  <si>
    <t xml:space="preserve">Equipment </t>
  </si>
  <si>
    <t>Afters</t>
  </si>
  <si>
    <t>Before School Care</t>
  </si>
  <si>
    <t>Music</t>
  </si>
  <si>
    <t>Vacation Care</t>
  </si>
  <si>
    <t>Grand Total</t>
  </si>
  <si>
    <t>Childcare fees</t>
  </si>
  <si>
    <t>Second hand uniform sales</t>
  </si>
  <si>
    <t>Fundraising revenue</t>
  </si>
  <si>
    <t>Grant income</t>
  </si>
  <si>
    <t>Other income</t>
  </si>
  <si>
    <t>Canteen stock</t>
  </si>
  <si>
    <t>Leave expense</t>
  </si>
  <si>
    <t>Insurance - general</t>
  </si>
  <si>
    <t>Manager of shop 5 hrs per week</t>
  </si>
  <si>
    <t>GL code</t>
  </si>
  <si>
    <t>Account title</t>
  </si>
  <si>
    <t>?</t>
  </si>
  <si>
    <t xml:space="preserve">June </t>
  </si>
  <si>
    <t>July</t>
  </si>
  <si>
    <t>Sept</t>
  </si>
  <si>
    <t xml:space="preserve">Interest Earned </t>
  </si>
  <si>
    <t xml:space="preserve">Bank Charges &amp; Other Fees </t>
  </si>
  <si>
    <t xml:space="preserve">Children's Consumables </t>
  </si>
  <si>
    <t xml:space="preserve">Children's Equipment &lt;$100 </t>
  </si>
  <si>
    <t xml:space="preserve">Christmas Party </t>
  </si>
  <si>
    <t xml:space="preserve">Depreciation </t>
  </si>
  <si>
    <t xml:space="preserve">Equipment &lt;$1,000 </t>
  </si>
  <si>
    <t xml:space="preserve">Food </t>
  </si>
  <si>
    <t xml:space="preserve">Long Service Leave </t>
  </si>
  <si>
    <t xml:space="preserve">Maintenance &amp; repair </t>
  </si>
  <si>
    <t xml:space="preserve">Staff Activities </t>
  </si>
  <si>
    <t xml:space="preserve">Staff Training </t>
  </si>
  <si>
    <t xml:space="preserve">Stationery </t>
  </si>
  <si>
    <t xml:space="preserve">Subscriptions &amp; Licences </t>
  </si>
  <si>
    <t xml:space="preserve">Superannuation </t>
  </si>
  <si>
    <t xml:space="preserve">Telephone / Internet </t>
  </si>
  <si>
    <t xml:space="preserve">Wages and Salaries </t>
  </si>
  <si>
    <t xml:space="preserve">Wages and Salaries - Executive Team </t>
  </si>
  <si>
    <t xml:space="preserve">Wages and Salaries - Training </t>
  </si>
  <si>
    <t xml:space="preserve">Workers Compensation Insurance </t>
  </si>
  <si>
    <t>Child Care Fees  (gross)</t>
  </si>
  <si>
    <t>Activities providers</t>
  </si>
  <si>
    <t>Music teachers</t>
  </si>
  <si>
    <t>Utilities (incl rubbish removal)</t>
  </si>
  <si>
    <t>GL #</t>
  </si>
  <si>
    <t>excursion (per day)</t>
  </si>
  <si>
    <t>Manager 25 hours per week</t>
  </si>
  <si>
    <t>new dishwasher</t>
  </si>
  <si>
    <t>includes sand</t>
  </si>
  <si>
    <t xml:space="preserve"> </t>
  </si>
  <si>
    <t>193 days of operation</t>
  </si>
  <si>
    <t>Average of 125 children per day at afters</t>
  </si>
  <si>
    <t>30 permanent before school bookings per day</t>
  </si>
  <si>
    <t>Replacement of ageing equipment for children and office</t>
  </si>
  <si>
    <t>Other rates unchanged</t>
  </si>
  <si>
    <t>45 per day.  Based on current year average attendance.</t>
  </si>
  <si>
    <t xml:space="preserve">Refer to separate sheet for 2016 income and expenses </t>
  </si>
  <si>
    <t>These are used as the basis of the above</t>
  </si>
  <si>
    <t>Link to 2016 activities analysis</t>
  </si>
  <si>
    <t>No music classes</t>
  </si>
  <si>
    <t>Streamlining of activities offered</t>
  </si>
  <si>
    <t>Purchase of dishwasher</t>
  </si>
  <si>
    <t>$70 base fee; extra for excursions</t>
  </si>
  <si>
    <t>Increase permanent afters rate to $28 (from $26) per session</t>
  </si>
  <si>
    <t>Overhead costs allocated at less than effort required</t>
  </si>
  <si>
    <t>Ave Mon</t>
  </si>
  <si>
    <t>Ave Tues</t>
  </si>
  <si>
    <t>Ave Weds</t>
  </si>
  <si>
    <t>Ave Thurs</t>
  </si>
  <si>
    <t>Ave Fri</t>
  </si>
  <si>
    <t>Ave Weekly</t>
  </si>
  <si>
    <t>From quick kids daily roll report</t>
  </si>
  <si>
    <t>IT support/ equipment</t>
  </si>
  <si>
    <t>Equipment &gt;$1000</t>
  </si>
  <si>
    <t>Equipment &lt; $1,000</t>
  </si>
  <si>
    <t>Equipment &gt; $1000</t>
  </si>
  <si>
    <t>Improvements to facilities</t>
  </si>
  <si>
    <t>Actual wages in 2016 to Oct are $99K</t>
  </si>
  <si>
    <t>1/18/2018</t>
  </si>
  <si>
    <t>Rent paid to school</t>
  </si>
  <si>
    <t>Utilities paid to school</t>
  </si>
  <si>
    <t>Assistant for 10 hours per week</t>
  </si>
  <si>
    <t>Rent to school</t>
  </si>
  <si>
    <t>Bank fees and other merchant Charges</t>
  </si>
  <si>
    <t>Executive team wages</t>
  </si>
</sst>
</file>

<file path=xl/styles.xml><?xml version="1.0" encoding="utf-8"?>
<styleSheet xmlns="http://schemas.openxmlformats.org/spreadsheetml/2006/main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"/>
    <numFmt numFmtId="166" formatCode="_-* #,##0_-;\-* #,##0_-;_-* &quot;-&quot;??_-;_-@_-"/>
    <numFmt numFmtId="167" formatCode="#,##0_ ;\-#,##0\ "/>
    <numFmt numFmtId="168" formatCode="_-* #,##0.0_-;\-* #,##0.0_-;_-* &quot;-&quot;??_-;_-@_-"/>
    <numFmt numFmtId="169" formatCode="[$$-809]#,##0.00;\-[$$-809]#,##0.00"/>
    <numFmt numFmtId="170" formatCode="#,##0;[Red]\(#,##0\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i/>
      <sz val="8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0" fontId="3" fillId="0" borderId="0" xfId="0" applyFont="1"/>
    <xf numFmtId="164" fontId="0" fillId="0" borderId="0" xfId="1" applyNumberFormat="1" applyFont="1" applyBorder="1"/>
    <xf numFmtId="1" fontId="0" fillId="0" borderId="0" xfId="1" applyNumberFormat="1" applyFont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/>
    <xf numFmtId="0" fontId="0" fillId="2" borderId="0" xfId="0" applyFill="1"/>
    <xf numFmtId="1" fontId="0" fillId="0" borderId="0" xfId="0" applyNumberFormat="1"/>
    <xf numFmtId="164" fontId="8" fillId="0" borderId="0" xfId="1" applyNumberFormat="1" applyFont="1" applyBorder="1"/>
    <xf numFmtId="0" fontId="0" fillId="0" borderId="2" xfId="0" applyBorder="1"/>
    <xf numFmtId="164" fontId="3" fillId="0" borderId="2" xfId="1" applyNumberFormat="1" applyFont="1" applyBorder="1"/>
    <xf numFmtId="1" fontId="0" fillId="0" borderId="2" xfId="1" applyNumberFormat="1" applyFont="1" applyBorder="1"/>
    <xf numFmtId="0" fontId="11" fillId="0" borderId="0" xfId="0" applyFont="1"/>
    <xf numFmtId="1" fontId="11" fillId="0" borderId="0" xfId="1" applyNumberFormat="1" applyFont="1"/>
    <xf numFmtId="1" fontId="11" fillId="0" borderId="0" xfId="0" applyNumberFormat="1" applyFont="1"/>
    <xf numFmtId="0" fontId="3" fillId="0" borderId="0" xfId="0" applyFont="1" applyAlignment="1">
      <alignment horizontal="right"/>
    </xf>
    <xf numFmtId="1" fontId="11" fillId="0" borderId="0" xfId="1" applyNumberFormat="1" applyFont="1" applyBorder="1"/>
    <xf numFmtId="0" fontId="3" fillId="0" borderId="2" xfId="0" applyFont="1" applyBorder="1"/>
    <xf numFmtId="1" fontId="0" fillId="0" borderId="2" xfId="0" applyNumberFormat="1" applyBorder="1"/>
    <xf numFmtId="164" fontId="7" fillId="0" borderId="2" xfId="1" applyNumberFormat="1" applyFont="1" applyBorder="1"/>
    <xf numFmtId="1" fontId="6" fillId="0" borderId="2" xfId="1" applyNumberFormat="1" applyFont="1" applyBorder="1"/>
    <xf numFmtId="0" fontId="3" fillId="0" borderId="0" xfId="0" applyFont="1" applyFill="1" applyBorder="1"/>
    <xf numFmtId="1" fontId="2" fillId="0" borderId="0" xfId="2" applyNumberFormat="1" applyBorder="1"/>
    <xf numFmtId="164" fontId="3" fillId="0" borderId="0" xfId="2" applyNumberFormat="1" applyFont="1" applyFill="1" applyBorder="1"/>
    <xf numFmtId="1" fontId="3" fillId="0" borderId="0" xfId="2" applyNumberFormat="1" applyFont="1" applyFill="1" applyBorder="1"/>
    <xf numFmtId="49" fontId="12" fillId="2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/>
    <xf numFmtId="1" fontId="2" fillId="0" borderId="0" xfId="2" applyNumberFormat="1" applyFill="1" applyBorder="1"/>
    <xf numFmtId="1" fontId="2" fillId="0" borderId="3" xfId="2" applyNumberFormat="1" applyFill="1" applyBorder="1"/>
    <xf numFmtId="0" fontId="13" fillId="0" borderId="0" xfId="0" applyFont="1" applyBorder="1"/>
    <xf numFmtId="1" fontId="3" fillId="0" borderId="3" xfId="2" applyNumberFormat="1" applyFont="1" applyFill="1" applyBorder="1"/>
    <xf numFmtId="164" fontId="2" fillId="0" borderId="0" xfId="2" applyNumberFormat="1" applyFill="1" applyBorder="1"/>
    <xf numFmtId="164" fontId="2" fillId="0" borderId="0" xfId="2" applyNumberFormat="1" applyBorder="1"/>
    <xf numFmtId="1" fontId="0" fillId="2" borderId="0" xfId="0" applyNumberFormat="1" applyFill="1" applyBorder="1"/>
    <xf numFmtId="49" fontId="12" fillId="0" borderId="0" xfId="0" applyNumberFormat="1" applyFont="1" applyFill="1" applyBorder="1" applyAlignment="1">
      <alignment vertical="top" wrapText="1"/>
    </xf>
    <xf numFmtId="0" fontId="3" fillId="0" borderId="3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1" fontId="2" fillId="0" borderId="0" xfId="2" applyNumberFormat="1" applyFont="1" applyFill="1" applyBorder="1"/>
    <xf numFmtId="164" fontId="0" fillId="2" borderId="0" xfId="1" applyNumberFormat="1" applyFont="1" applyFill="1" applyBorder="1"/>
    <xf numFmtId="164" fontId="0" fillId="0" borderId="0" xfId="0" applyNumberFormat="1" applyFill="1" applyBorder="1"/>
    <xf numFmtId="1" fontId="0" fillId="0" borderId="0" xfId="1" applyNumberFormat="1" applyFont="1" applyFill="1" applyBorder="1"/>
    <xf numFmtId="164" fontId="0" fillId="0" borderId="0" xfId="0" applyNumberFormat="1"/>
    <xf numFmtId="1" fontId="16" fillId="0" borderId="0" xfId="0" applyNumberFormat="1" applyFont="1" applyFill="1" applyBorder="1"/>
    <xf numFmtId="1" fontId="16" fillId="0" borderId="0" xfId="2" applyNumberFormat="1" applyFont="1" applyFill="1" applyBorder="1"/>
    <xf numFmtId="0" fontId="16" fillId="0" borderId="0" xfId="0" applyFont="1" applyBorder="1"/>
    <xf numFmtId="0" fontId="2" fillId="0" borderId="0" xfId="0" applyFont="1" applyFill="1" applyBorder="1"/>
    <xf numFmtId="1" fontId="2" fillId="3" borderId="0" xfId="2" applyNumberFormat="1" applyFont="1" applyFill="1" applyBorder="1"/>
    <xf numFmtId="1" fontId="2" fillId="3" borderId="0" xfId="2" applyNumberFormat="1" applyFont="1" applyFill="1" applyBorder="1" applyAlignment="1">
      <alignment horizontal="right"/>
    </xf>
    <xf numFmtId="1" fontId="15" fillId="0" borderId="0" xfId="2" applyNumberFormat="1" applyFont="1" applyFill="1" applyBorder="1" applyAlignment="1">
      <alignment horizontal="left"/>
    </xf>
    <xf numFmtId="1" fontId="17" fillId="0" borderId="0" xfId="2" applyNumberFormat="1" applyFont="1" applyFill="1" applyBorder="1"/>
    <xf numFmtId="0" fontId="0" fillId="3" borderId="0" xfId="0" applyFill="1" applyBorder="1" applyAlignment="1">
      <alignment horizontal="right"/>
    </xf>
    <xf numFmtId="164" fontId="2" fillId="0" borderId="0" xfId="0" applyNumberFormat="1" applyFont="1" applyFill="1" applyBorder="1"/>
    <xf numFmtId="1" fontId="2" fillId="3" borderId="0" xfId="2" applyNumberFormat="1" applyFill="1" applyBorder="1" applyAlignment="1">
      <alignment horizontal="right"/>
    </xf>
    <xf numFmtId="1" fontId="2" fillId="0" borderId="0" xfId="0" applyNumberFormat="1" applyFont="1" applyFill="1" applyBorder="1"/>
    <xf numFmtId="1" fontId="4" fillId="4" borderId="4" xfId="2" applyNumberFormat="1" applyFont="1" applyFill="1" applyBorder="1"/>
    <xf numFmtId="1" fontId="2" fillId="4" borderId="4" xfId="2" applyNumberFormat="1" applyFill="1" applyBorder="1"/>
    <xf numFmtId="0" fontId="18" fillId="0" borderId="0" xfId="0" applyFont="1"/>
    <xf numFmtId="1" fontId="0" fillId="0" borderId="0" xfId="0" applyNumberFormat="1" applyFill="1"/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0" fillId="0" borderId="4" xfId="0" applyFill="1" applyBorder="1"/>
    <xf numFmtId="0" fontId="10" fillId="0" borderId="4" xfId="0" applyFont="1" applyFill="1" applyBorder="1"/>
    <xf numFmtId="1" fontId="10" fillId="0" borderId="4" xfId="0" applyNumberFormat="1" applyFont="1" applyFill="1" applyBorder="1"/>
    <xf numFmtId="17" fontId="3" fillId="0" borderId="0" xfId="1" applyNumberFormat="1" applyFont="1" applyBorder="1"/>
    <xf numFmtId="1" fontId="3" fillId="0" borderId="0" xfId="1" applyNumberFormat="1" applyFont="1"/>
    <xf numFmtId="1" fontId="3" fillId="0" borderId="0" xfId="0" applyNumberFormat="1" applyFont="1"/>
    <xf numFmtId="49" fontId="20" fillId="0" borderId="0" xfId="0" applyNumberFormat="1" applyFont="1" applyFill="1" applyBorder="1" applyAlignment="1">
      <alignment vertical="top" wrapText="1"/>
    </xf>
    <xf numFmtId="44" fontId="0" fillId="0" borderId="0" xfId="1" applyFont="1" applyFill="1" applyBorder="1"/>
    <xf numFmtId="1" fontId="0" fillId="0" borderId="0" xfId="1" applyNumberFormat="1" applyFont="1" applyFill="1"/>
    <xf numFmtId="2" fontId="0" fillId="0" borderId="0" xfId="1" applyNumberFormat="1" applyFont="1" applyBorder="1"/>
    <xf numFmtId="0" fontId="10" fillId="0" borderId="0" xfId="0" applyFont="1"/>
    <xf numFmtId="1" fontId="10" fillId="0" borderId="0" xfId="2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165" fontId="2" fillId="3" borderId="0" xfId="2" applyNumberFormat="1" applyFill="1" applyBorder="1"/>
    <xf numFmtId="1" fontId="0" fillId="0" borderId="0" xfId="0" applyNumberFormat="1" applyBorder="1"/>
    <xf numFmtId="1" fontId="13" fillId="0" borderId="0" xfId="0" applyNumberFormat="1" applyFont="1" applyBorder="1"/>
    <xf numFmtId="1" fontId="0" fillId="5" borderId="0" xfId="0" applyNumberFormat="1" applyFill="1" applyBorder="1"/>
    <xf numFmtId="0" fontId="13" fillId="5" borderId="0" xfId="0" applyFont="1" applyFill="1" applyBorder="1"/>
    <xf numFmtId="1" fontId="13" fillId="5" borderId="0" xfId="0" applyNumberFormat="1" applyFont="1" applyFill="1" applyBorder="1"/>
    <xf numFmtId="0" fontId="10" fillId="0" borderId="0" xfId="0" applyFont="1" applyFill="1" applyBorder="1"/>
    <xf numFmtId="166" fontId="3" fillId="0" borderId="0" xfId="6" applyNumberFormat="1" applyFont="1"/>
    <xf numFmtId="166" fontId="0" fillId="0" borderId="0" xfId="6" applyNumberFormat="1" applyFont="1"/>
    <xf numFmtId="166" fontId="0" fillId="0" borderId="0" xfId="6" applyNumberFormat="1" applyFont="1" applyAlignment="1">
      <alignment horizontal="center"/>
    </xf>
    <xf numFmtId="166" fontId="0" fillId="0" borderId="0" xfId="4" applyNumberFormat="1" applyFont="1"/>
    <xf numFmtId="166" fontId="3" fillId="0" borderId="0" xfId="4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/>
    <xf numFmtId="0" fontId="0" fillId="0" borderId="1" xfId="0" applyFill="1" applyBorder="1"/>
    <xf numFmtId="164" fontId="0" fillId="0" borderId="1" xfId="1" applyNumberFormat="1" applyFont="1" applyFill="1" applyBorder="1"/>
    <xf numFmtId="0" fontId="3" fillId="0" borderId="1" xfId="0" applyFont="1" applyFill="1" applyBorder="1"/>
    <xf numFmtId="164" fontId="0" fillId="0" borderId="0" xfId="1" applyNumberFormat="1" applyFont="1" applyFill="1" applyBorder="1"/>
    <xf numFmtId="166" fontId="0" fillId="0" borderId="0" xfId="4" applyNumberFormat="1" applyFont="1" applyFill="1" applyBorder="1"/>
    <xf numFmtId="166" fontId="0" fillId="2" borderId="0" xfId="4" applyNumberFormat="1" applyFont="1" applyFill="1" applyBorder="1"/>
    <xf numFmtId="1" fontId="10" fillId="0" borderId="0" xfId="0" applyNumberFormat="1" applyFont="1" applyFill="1" applyBorder="1"/>
    <xf numFmtId="166" fontId="2" fillId="0" borderId="0" xfId="4" applyNumberFormat="1" applyFont="1" applyFill="1" applyBorder="1"/>
    <xf numFmtId="166" fontId="19" fillId="0" borderId="0" xfId="4" applyNumberFormat="1" applyFont="1" applyFill="1" applyBorder="1"/>
    <xf numFmtId="166" fontId="2" fillId="0" borderId="0" xfId="4" applyNumberFormat="1" applyFont="1" applyFill="1"/>
    <xf numFmtId="166" fontId="0" fillId="0" borderId="0" xfId="4" applyNumberFormat="1" applyFont="1" applyFill="1"/>
    <xf numFmtId="0" fontId="3" fillId="0" borderId="7" xfId="0" applyFont="1" applyBorder="1"/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right"/>
    </xf>
    <xf numFmtId="0" fontId="3" fillId="0" borderId="6" xfId="0" applyFont="1" applyBorder="1"/>
    <xf numFmtId="0" fontId="10" fillId="0" borderId="6" xfId="0" applyFont="1" applyBorder="1" applyAlignment="1">
      <alignment horizontal="right"/>
    </xf>
    <xf numFmtId="0" fontId="0" fillId="0" borderId="5" xfId="0" applyBorder="1"/>
    <xf numFmtId="0" fontId="0" fillId="0" borderId="0" xfId="0" applyFill="1" applyAlignment="1">
      <alignment horizontal="center"/>
    </xf>
    <xf numFmtId="0" fontId="0" fillId="8" borderId="1" xfId="0" applyFill="1" applyBorder="1"/>
    <xf numFmtId="166" fontId="0" fillId="0" borderId="0" xfId="4" applyNumberFormat="1" applyFont="1" applyBorder="1"/>
    <xf numFmtId="168" fontId="0" fillId="0" borderId="6" xfId="4" applyNumberFormat="1" applyFont="1" applyBorder="1"/>
    <xf numFmtId="166" fontId="23" fillId="0" borderId="0" xfId="6" applyNumberFormat="1" applyFont="1" applyAlignment="1">
      <alignment horizontal="left"/>
    </xf>
    <xf numFmtId="0" fontId="2" fillId="0" borderId="0" xfId="0" applyFont="1"/>
    <xf numFmtId="43" fontId="0" fillId="0" borderId="0" xfId="4" applyFont="1"/>
    <xf numFmtId="0" fontId="0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wrapText="1"/>
    </xf>
    <xf numFmtId="0" fontId="2" fillId="2" borderId="0" xfId="0" applyFont="1" applyFill="1"/>
    <xf numFmtId="43" fontId="3" fillId="0" borderId="0" xfId="4" applyFont="1"/>
    <xf numFmtId="0" fontId="0" fillId="0" borderId="0" xfId="0" applyFont="1" applyFill="1"/>
    <xf numFmtId="0" fontId="2" fillId="0" borderId="0" xfId="0" applyFont="1" applyFill="1"/>
    <xf numFmtId="1" fontId="11" fillId="0" borderId="0" xfId="0" applyNumberFormat="1" applyFont="1" applyFill="1"/>
    <xf numFmtId="164" fontId="0" fillId="0" borderId="0" xfId="0" applyNumberFormat="1" applyFill="1"/>
    <xf numFmtId="1" fontId="6" fillId="0" borderId="0" xfId="1" applyNumberFormat="1" applyFont="1" applyFill="1"/>
    <xf numFmtId="166" fontId="0" fillId="0" borderId="2" xfId="4" applyNumberFormat="1" applyFont="1" applyBorder="1"/>
    <xf numFmtId="166" fontId="3" fillId="0" borderId="0" xfId="4" applyNumberFormat="1" applyFont="1" applyBorder="1"/>
    <xf numFmtId="166" fontId="6" fillId="0" borderId="0" xfId="4" applyNumberFormat="1" applyFont="1" applyFill="1" applyBorder="1"/>
    <xf numFmtId="0" fontId="2" fillId="10" borderId="0" xfId="0" applyFont="1" applyFill="1"/>
    <xf numFmtId="0" fontId="0" fillId="10" borderId="0" xfId="0" applyFill="1"/>
    <xf numFmtId="166" fontId="0" fillId="10" borderId="0" xfId="4" applyNumberFormat="1" applyFont="1" applyFill="1" applyBorder="1"/>
    <xf numFmtId="0" fontId="24" fillId="0" borderId="0" xfId="0" applyFont="1" applyFill="1" applyBorder="1" applyAlignment="1">
      <alignment vertical="center"/>
    </xf>
    <xf numFmtId="1" fontId="2" fillId="3" borderId="0" xfId="2" applyNumberFormat="1" applyFont="1" applyFill="1" applyBorder="1" applyAlignment="1">
      <alignment wrapText="1"/>
    </xf>
    <xf numFmtId="1" fontId="2" fillId="3" borderId="0" xfId="2" applyNumberFormat="1" applyFont="1" applyFill="1" applyBorder="1" applyAlignment="1">
      <alignment horizontal="right" wrapText="1"/>
    </xf>
    <xf numFmtId="164" fontId="2" fillId="3" borderId="0" xfId="2" applyNumberFormat="1" applyFont="1" applyFill="1" applyBorder="1" applyAlignment="1">
      <alignment wrapText="1"/>
    </xf>
    <xf numFmtId="166" fontId="2" fillId="3" borderId="0" xfId="4" applyNumberFormat="1" applyFill="1" applyBorder="1"/>
    <xf numFmtId="2" fontId="2" fillId="3" borderId="0" xfId="2" applyNumberFormat="1" applyFill="1" applyBorder="1"/>
    <xf numFmtId="166" fontId="0" fillId="0" borderId="0" xfId="6" applyNumberFormat="1" applyFont="1" applyFill="1" applyBorder="1"/>
    <xf numFmtId="0" fontId="0" fillId="9" borderId="6" xfId="0" applyFill="1" applyBorder="1"/>
    <xf numFmtId="166" fontId="2" fillId="0" borderId="0" xfId="4" applyNumberFormat="1" applyFont="1"/>
    <xf numFmtId="6" fontId="0" fillId="0" borderId="0" xfId="0" applyNumberFormat="1"/>
    <xf numFmtId="6" fontId="3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166" fontId="10" fillId="0" borderId="0" xfId="4" applyNumberFormat="1" applyFont="1"/>
    <xf numFmtId="166" fontId="0" fillId="0" borderId="0" xfId="0" applyNumberFormat="1"/>
    <xf numFmtId="169" fontId="6" fillId="0" borderId="0" xfId="9" applyNumberFormat="1" applyFont="1" applyFill="1" applyBorder="1" applyAlignment="1" applyProtection="1">
      <alignment vertical="center"/>
    </xf>
    <xf numFmtId="0" fontId="0" fillId="7" borderId="1" xfId="0" applyFill="1" applyBorder="1"/>
    <xf numFmtId="166" fontId="2" fillId="0" borderId="0" xfId="6" applyNumberFormat="1" applyFont="1" applyFill="1" applyBorder="1"/>
    <xf numFmtId="170" fontId="14" fillId="0" borderId="2" xfId="0" applyNumberFormat="1" applyFont="1" applyFill="1" applyBorder="1"/>
    <xf numFmtId="170" fontId="14" fillId="0" borderId="2" xfId="2" applyNumberFormat="1" applyFont="1" applyFill="1" applyBorder="1"/>
    <xf numFmtId="170" fontId="0" fillId="0" borderId="0" xfId="0" applyNumberFormat="1" applyFill="1" applyBorder="1"/>
    <xf numFmtId="170" fontId="14" fillId="0" borderId="0" xfId="0" applyNumberFormat="1" applyFont="1" applyBorder="1"/>
    <xf numFmtId="170" fontId="0" fillId="0" borderId="0" xfId="0" applyNumberFormat="1"/>
    <xf numFmtId="170" fontId="0" fillId="0" borderId="0" xfId="0" applyNumberFormat="1" applyBorder="1"/>
    <xf numFmtId="170" fontId="3" fillId="0" borderId="0" xfId="0" applyNumberFormat="1" applyFont="1"/>
    <xf numFmtId="170" fontId="0" fillId="0" borderId="0" xfId="6" applyNumberFormat="1" applyFont="1" applyFill="1" applyBorder="1"/>
    <xf numFmtId="170" fontId="3" fillId="0" borderId="0" xfId="0" applyNumberFormat="1" applyFont="1" applyFill="1" applyBorder="1"/>
    <xf numFmtId="1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vertical="center"/>
    </xf>
    <xf numFmtId="166" fontId="0" fillId="11" borderId="0" xfId="6" applyNumberFormat="1" applyFont="1" applyFill="1"/>
    <xf numFmtId="166" fontId="3" fillId="0" borderId="0" xfId="4" applyNumberFormat="1" applyFont="1" applyFill="1" applyBorder="1" applyAlignment="1">
      <alignment wrapText="1"/>
    </xf>
    <xf numFmtId="164" fontId="3" fillId="0" borderId="0" xfId="2" applyNumberFormat="1" applyFont="1" applyBorder="1" applyAlignment="1">
      <alignment wrapText="1"/>
    </xf>
    <xf numFmtId="1" fontId="3" fillId="0" borderId="0" xfId="2" applyNumberFormat="1" applyFont="1" applyBorder="1"/>
    <xf numFmtId="0" fontId="25" fillId="0" borderId="0" xfId="0" applyFont="1"/>
    <xf numFmtId="0" fontId="23" fillId="0" borderId="0" xfId="0" applyFont="1"/>
    <xf numFmtId="170" fontId="24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0" fontId="23" fillId="0" borderId="0" xfId="0" applyFont="1" applyBorder="1"/>
    <xf numFmtId="166" fontId="23" fillId="0" borderId="0" xfId="4" applyNumberFormat="1" applyFont="1"/>
    <xf numFmtId="0" fontId="5" fillId="0" borderId="0" xfId="3" applyFill="1" applyBorder="1" applyAlignment="1" applyProtection="1"/>
    <xf numFmtId="166" fontId="0" fillId="0" borderId="0" xfId="6" applyNumberFormat="1" applyFont="1" applyFill="1"/>
    <xf numFmtId="43" fontId="0" fillId="0" borderId="0" xfId="4" applyFont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12" xfId="0" applyFont="1" applyFill="1" applyBorder="1"/>
    <xf numFmtId="1" fontId="0" fillId="0" borderId="12" xfId="0" applyNumberFormat="1" applyFill="1" applyBorder="1"/>
    <xf numFmtId="0" fontId="0" fillId="0" borderId="13" xfId="0" applyFill="1" applyBorder="1"/>
    <xf numFmtId="0" fontId="0" fillId="0" borderId="14" xfId="0" applyFill="1" applyBorder="1"/>
    <xf numFmtId="1" fontId="0" fillId="0" borderId="14" xfId="0" applyNumberFormat="1" applyFill="1" applyBorder="1"/>
    <xf numFmtId="1" fontId="0" fillId="0" borderId="15" xfId="0" applyNumberFormat="1" applyFill="1" applyBorder="1"/>
    <xf numFmtId="169" fontId="6" fillId="10" borderId="0" xfId="9" applyNumberFormat="1" applyFont="1" applyFill="1" applyBorder="1" applyAlignment="1" applyProtection="1">
      <alignment vertical="center"/>
    </xf>
    <xf numFmtId="164" fontId="3" fillId="0" borderId="16" xfId="1" applyNumberFormat="1" applyFont="1" applyFill="1" applyBorder="1"/>
    <xf numFmtId="167" fontId="11" fillId="0" borderId="17" xfId="1" applyNumberFormat="1" applyFont="1" applyBorder="1"/>
    <xf numFmtId="164" fontId="8" fillId="0" borderId="17" xfId="1" applyNumberFormat="1" applyFont="1" applyBorder="1"/>
    <xf numFmtId="164" fontId="2" fillId="0" borderId="17" xfId="1" applyNumberFormat="1" applyFont="1" applyBorder="1"/>
    <xf numFmtId="164" fontId="3" fillId="0" borderId="18" xfId="1" applyNumberFormat="1" applyFont="1" applyBorder="1"/>
    <xf numFmtId="164" fontId="2" fillId="0" borderId="17" xfId="1" applyNumberFormat="1" applyFont="1" applyFill="1" applyBorder="1"/>
    <xf numFmtId="164" fontId="6" fillId="0" borderId="17" xfId="1" applyNumberFormat="1" applyFont="1" applyFill="1" applyBorder="1"/>
    <xf numFmtId="164" fontId="3" fillId="0" borderId="17" xfId="1" applyNumberFormat="1" applyFont="1" applyBorder="1"/>
    <xf numFmtId="164" fontId="2" fillId="2" borderId="17" xfId="1" applyNumberFormat="1" applyFont="1" applyFill="1" applyBorder="1"/>
    <xf numFmtId="164" fontId="2" fillId="10" borderId="17" xfId="1" applyNumberFormat="1" applyFont="1" applyFill="1" applyBorder="1"/>
    <xf numFmtId="164" fontId="7" fillId="0" borderId="18" xfId="1" applyNumberFormat="1" applyFont="1" applyBorder="1"/>
    <xf numFmtId="0" fontId="0" fillId="0" borderId="12" xfId="0" applyFill="1" applyBorder="1"/>
    <xf numFmtId="0" fontId="0" fillId="0" borderId="15" xfId="0" applyFill="1" applyBorder="1"/>
    <xf numFmtId="166" fontId="3" fillId="0" borderId="16" xfId="4" applyNumberFormat="1" applyFont="1" applyFill="1" applyBorder="1"/>
    <xf numFmtId="166" fontId="3" fillId="0" borderId="17" xfId="4" applyNumberFormat="1" applyFont="1" applyFill="1" applyBorder="1"/>
    <xf numFmtId="166" fontId="6" fillId="0" borderId="17" xfId="4" applyNumberFormat="1" applyFont="1" applyFill="1" applyBorder="1" applyAlignment="1">
      <alignment horizontal="right" vertical="top" wrapText="1"/>
    </xf>
    <xf numFmtId="166" fontId="2" fillId="0" borderId="20" xfId="4" applyNumberFormat="1" applyFont="1" applyFill="1" applyBorder="1"/>
    <xf numFmtId="166" fontId="2" fillId="0" borderId="17" xfId="4" applyNumberFormat="1" applyFont="1" applyFill="1" applyBorder="1" applyAlignment="1">
      <alignment horizontal="right"/>
    </xf>
    <xf numFmtId="166" fontId="3" fillId="0" borderId="17" xfId="4" applyNumberFormat="1" applyFont="1" applyFill="1" applyBorder="1" applyAlignment="1">
      <alignment horizontal="right"/>
    </xf>
    <xf numFmtId="166" fontId="6" fillId="2" borderId="17" xfId="4" applyNumberFormat="1" applyFont="1" applyFill="1" applyBorder="1" applyAlignment="1">
      <alignment horizontal="right" vertical="top" wrapText="1"/>
    </xf>
    <xf numFmtId="166" fontId="3" fillId="0" borderId="20" xfId="4" applyNumberFormat="1" applyFont="1" applyFill="1" applyBorder="1" applyAlignment="1">
      <alignment horizontal="right"/>
    </xf>
    <xf numFmtId="170" fontId="3" fillId="0" borderId="19" xfId="4" applyNumberFormat="1" applyFont="1" applyFill="1" applyBorder="1" applyAlignment="1">
      <alignment horizontal="right"/>
    </xf>
    <xf numFmtId="164" fontId="3" fillId="0" borderId="19" xfId="1" applyNumberFormat="1" applyFont="1" applyBorder="1"/>
    <xf numFmtId="166" fontId="11" fillId="0" borderId="17" xfId="4" applyNumberFormat="1" applyFont="1" applyBorder="1"/>
    <xf numFmtId="166" fontId="9" fillId="0" borderId="17" xfId="4" applyNumberFormat="1" applyFont="1" applyFill="1" applyBorder="1"/>
    <xf numFmtId="166" fontId="8" fillId="0" borderId="17" xfId="4" applyNumberFormat="1" applyFont="1" applyFill="1" applyBorder="1"/>
    <xf numFmtId="166" fontId="2" fillId="0" borderId="17" xfId="4" applyNumberFormat="1" applyFont="1" applyFill="1" applyBorder="1"/>
    <xf numFmtId="170" fontId="9" fillId="0" borderId="19" xfId="4" applyNumberFormat="1" applyFont="1" applyFill="1" applyBorder="1"/>
    <xf numFmtId="166" fontId="3" fillId="0" borderId="20" xfId="4" applyNumberFormat="1" applyFont="1" applyFill="1" applyBorder="1"/>
    <xf numFmtId="166" fontId="16" fillId="0" borderId="17" xfId="4" applyNumberFormat="1" applyFont="1" applyFill="1" applyBorder="1"/>
    <xf numFmtId="166" fontId="2" fillId="0" borderId="17" xfId="4" applyNumberFormat="1" applyFont="1" applyFill="1" applyBorder="1" applyAlignment="1">
      <alignment vertical="top"/>
    </xf>
    <xf numFmtId="166" fontId="2" fillId="2" borderId="17" xfId="4" applyNumberFormat="1" applyFont="1" applyFill="1" applyBorder="1"/>
    <xf numFmtId="166" fontId="2" fillId="0" borderId="21" xfId="4" applyNumberFormat="1" applyFont="1" applyFill="1" applyBorder="1"/>
    <xf numFmtId="166" fontId="3" fillId="0" borderId="16" xfId="4" applyNumberFormat="1" applyFont="1" applyFill="1" applyBorder="1" applyAlignment="1">
      <alignment horizontal="center" wrapText="1"/>
    </xf>
    <xf numFmtId="166" fontId="25" fillId="0" borderId="0" xfId="6" applyNumberFormat="1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166" fontId="10" fillId="6" borderId="17" xfId="6" applyNumberFormat="1" applyFont="1" applyFill="1" applyBorder="1"/>
    <xf numFmtId="166" fontId="0" fillId="11" borderId="17" xfId="6" applyNumberFormat="1" applyFont="1" applyFill="1" applyBorder="1"/>
    <xf numFmtId="0" fontId="10" fillId="6" borderId="17" xfId="0" applyFont="1" applyFill="1" applyBorder="1"/>
    <xf numFmtId="166" fontId="3" fillId="6" borderId="21" xfId="6" applyNumberFormat="1" applyFont="1" applyFill="1" applyBorder="1"/>
    <xf numFmtId="170" fontId="3" fillId="6" borderId="19" xfId="0" applyNumberFormat="1" applyFont="1" applyFill="1" applyBorder="1"/>
    <xf numFmtId="166" fontId="10" fillId="0" borderId="16" xfId="4" applyNumberFormat="1" applyFont="1" applyBorder="1" applyAlignment="1">
      <alignment horizontal="center"/>
    </xf>
    <xf numFmtId="166" fontId="0" fillId="0" borderId="17" xfId="4" applyNumberFormat="1" applyFont="1" applyBorder="1"/>
    <xf numFmtId="166" fontId="2" fillId="0" borderId="17" xfId="4" applyNumberFormat="1" applyFont="1" applyBorder="1"/>
    <xf numFmtId="166" fontId="3" fillId="0" borderId="21" xfId="4" applyNumberFormat="1" applyFont="1" applyBorder="1"/>
    <xf numFmtId="166" fontId="3" fillId="0" borderId="19" xfId="4" applyNumberFormat="1" applyFont="1" applyBorder="1"/>
    <xf numFmtId="166" fontId="0" fillId="0" borderId="0" xfId="0" applyNumberFormat="1" applyBorder="1"/>
    <xf numFmtId="38" fontId="10" fillId="0" borderId="0" xfId="1" applyNumberFormat="1" applyFont="1" applyFill="1" applyBorder="1"/>
    <xf numFmtId="38" fontId="0" fillId="0" borderId="0" xfId="1" applyNumberFormat="1" applyFont="1"/>
    <xf numFmtId="38" fontId="0" fillId="0" borderId="0" xfId="1" applyNumberFormat="1" applyFont="1" applyFill="1"/>
    <xf numFmtId="38" fontId="2" fillId="0" borderId="0" xfId="1" applyNumberFormat="1" applyFont="1" applyFill="1" applyBorder="1"/>
    <xf numFmtId="38" fontId="2" fillId="0" borderId="0" xfId="1" applyNumberFormat="1" applyFont="1"/>
    <xf numFmtId="38" fontId="2" fillId="0" borderId="0" xfId="0" applyNumberFormat="1" applyFont="1" applyFill="1" applyBorder="1"/>
    <xf numFmtId="38" fontId="3" fillId="6" borderId="0" xfId="0" applyNumberFormat="1" applyFont="1" applyFill="1" applyBorder="1"/>
    <xf numFmtId="38" fontId="0" fillId="0" borderId="0" xfId="0" applyNumberFormat="1" applyFill="1" applyBorder="1"/>
    <xf numFmtId="38" fontId="0" fillId="0" borderId="0" xfId="0" applyNumberFormat="1"/>
    <xf numFmtId="38" fontId="3" fillId="6" borderId="0" xfId="1" applyNumberFormat="1" applyFont="1" applyFill="1"/>
    <xf numFmtId="38" fontId="3" fillId="6" borderId="0" xfId="1" applyNumberFormat="1" applyFont="1" applyFill="1" applyBorder="1"/>
    <xf numFmtId="38" fontId="0" fillId="6" borderId="0" xfId="1" applyNumberFormat="1" applyFont="1" applyFill="1"/>
    <xf numFmtId="0" fontId="3" fillId="0" borderId="16" xfId="0" applyFont="1" applyFill="1" applyBorder="1" applyAlignment="1">
      <alignment horizontal="center" wrapText="1"/>
    </xf>
    <xf numFmtId="0" fontId="0" fillId="0" borderId="17" xfId="0" applyFill="1" applyBorder="1"/>
    <xf numFmtId="38" fontId="10" fillId="0" borderId="17" xfId="0" applyNumberFormat="1" applyFont="1" applyFill="1" applyBorder="1"/>
    <xf numFmtId="38" fontId="3" fillId="6" borderId="17" xfId="0" applyNumberFormat="1" applyFont="1" applyFill="1" applyBorder="1"/>
    <xf numFmtId="38" fontId="2" fillId="0" borderId="17" xfId="0" applyNumberFormat="1" applyFont="1" applyFill="1" applyBorder="1"/>
    <xf numFmtId="38" fontId="0" fillId="0" borderId="17" xfId="0" applyNumberFormat="1" applyFill="1" applyBorder="1"/>
    <xf numFmtId="38" fontId="3" fillId="6" borderId="22" xfId="0" applyNumberFormat="1" applyFont="1" applyFill="1" applyBorder="1"/>
  </cellXfs>
  <cellStyles count="13">
    <cellStyle name="Comma" xfId="4" builtinId="3"/>
    <cellStyle name="Comma 2" xfId="6"/>
    <cellStyle name="Comma 3" xfId="12"/>
    <cellStyle name="Currency" xfId="1" builtinId="4"/>
    <cellStyle name="Currency 2" xfId="7"/>
    <cellStyle name="Currency_FASC budget 2005" xfId="2"/>
    <cellStyle name="Hyperlink" xfId="3" builtinId="8"/>
    <cellStyle name="Normal" xfId="0" builtinId="0"/>
    <cellStyle name="Normal 2" xfId="5"/>
    <cellStyle name="Normal 3" xfId="9"/>
    <cellStyle name="Normal 4" xfId="10"/>
    <cellStyle name="Normal 5" xfId="11"/>
    <cellStyle name="Percent 2" xfId="8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Normal="100" workbookViewId="0">
      <pane xSplit="3" ySplit="2" topLeftCell="D3" activePane="bottomRight" state="frozenSplit"/>
      <selection activeCell="V15" sqref="V15"/>
      <selection pane="topRight" activeCell="V15" sqref="V15"/>
      <selection pane="bottomLeft" activeCell="V15" sqref="V15"/>
      <selection pane="bottomRight" activeCell="N62" sqref="N62"/>
    </sheetView>
  </sheetViews>
  <sheetFormatPr defaultRowHeight="12.75"/>
  <cols>
    <col min="1" max="1" width="9.140625" hidden="1" customWidth="1"/>
    <col min="2" max="2" width="1.7109375" customWidth="1"/>
    <col min="3" max="3" width="13.42578125" customWidth="1"/>
    <col min="4" max="4" width="5.85546875" customWidth="1"/>
    <col min="5" max="11" width="11.42578125" customWidth="1"/>
    <col min="12" max="12" width="9.7109375" bestFit="1" customWidth="1"/>
    <col min="14" max="14" width="14.7109375" bestFit="1" customWidth="1"/>
  </cols>
  <sheetData>
    <row r="1" spans="1:12" ht="13.5" thickBot="1"/>
    <row r="2" spans="1:12" s="89" customFormat="1" ht="25.5">
      <c r="A2" s="145" t="s">
        <v>166</v>
      </c>
      <c r="B2" s="146" t="s">
        <v>167</v>
      </c>
      <c r="E2" s="90" t="s">
        <v>70</v>
      </c>
      <c r="F2" s="90" t="s">
        <v>48</v>
      </c>
      <c r="G2" s="90" t="s">
        <v>49</v>
      </c>
      <c r="H2" s="90" t="s">
        <v>66</v>
      </c>
      <c r="I2" s="90" t="s">
        <v>54</v>
      </c>
      <c r="J2" s="90" t="s">
        <v>130</v>
      </c>
      <c r="K2" s="249" t="s">
        <v>12</v>
      </c>
    </row>
    <row r="3" spans="1:12">
      <c r="B3" s="3" t="s">
        <v>10</v>
      </c>
      <c r="E3" s="11"/>
      <c r="K3" s="250"/>
    </row>
    <row r="4" spans="1:12">
      <c r="A4">
        <v>41110</v>
      </c>
      <c r="B4" s="49" t="s">
        <v>157</v>
      </c>
      <c r="C4" s="83"/>
      <c r="E4" s="237">
        <v>791300</v>
      </c>
      <c r="F4" s="238">
        <v>0</v>
      </c>
      <c r="G4" s="238">
        <v>0</v>
      </c>
      <c r="H4" s="238">
        <v>188550</v>
      </c>
      <c r="I4" s="238">
        <v>0</v>
      </c>
      <c r="J4" s="238">
        <v>0</v>
      </c>
      <c r="K4" s="251">
        <v>979850</v>
      </c>
      <c r="L4" t="str">
        <f>IF(J4+I4+H4+G4+F4+E4=K4," ","error")</f>
        <v xml:space="preserve"> </v>
      </c>
    </row>
    <row r="5" spans="1:12">
      <c r="A5">
        <v>42210</v>
      </c>
      <c r="B5" s="49" t="s">
        <v>139</v>
      </c>
      <c r="C5" s="83"/>
      <c r="E5" s="237">
        <v>0</v>
      </c>
      <c r="F5" s="238">
        <v>75000</v>
      </c>
      <c r="G5" s="238">
        <v>0</v>
      </c>
      <c r="H5" s="238">
        <v>0</v>
      </c>
      <c r="I5" s="238">
        <v>0</v>
      </c>
      <c r="J5" s="238">
        <v>0</v>
      </c>
      <c r="K5" s="251">
        <v>75000</v>
      </c>
      <c r="L5" t="str">
        <f t="shared" ref="L5:L70" si="0">IF(J5+I5+H5+G5+F5+E5=K5," ","error")</f>
        <v xml:space="preserve"> </v>
      </c>
    </row>
    <row r="6" spans="1:12" hidden="1">
      <c r="A6" s="163">
        <v>42220</v>
      </c>
      <c r="B6" s="49" t="s">
        <v>138</v>
      </c>
      <c r="C6" s="83"/>
      <c r="E6" s="237"/>
      <c r="F6" s="238">
        <v>0</v>
      </c>
      <c r="G6" s="238"/>
      <c r="H6" s="238"/>
      <c r="I6" s="238"/>
      <c r="J6" s="238"/>
      <c r="K6" s="251">
        <v>0</v>
      </c>
      <c r="L6" t="str">
        <f t="shared" si="0"/>
        <v xml:space="preserve"> </v>
      </c>
    </row>
    <row r="7" spans="1:12">
      <c r="A7">
        <v>43100</v>
      </c>
      <c r="B7" s="83" t="s">
        <v>86</v>
      </c>
      <c r="C7" s="83"/>
      <c r="E7" s="237">
        <v>0</v>
      </c>
      <c r="F7" s="237">
        <v>0</v>
      </c>
      <c r="G7" s="238">
        <v>65000</v>
      </c>
      <c r="H7" s="238">
        <v>0</v>
      </c>
      <c r="I7" s="238">
        <v>0</v>
      </c>
      <c r="J7" s="238">
        <v>0</v>
      </c>
      <c r="K7" s="251">
        <v>65000</v>
      </c>
      <c r="L7" t="str">
        <f t="shared" si="0"/>
        <v xml:space="preserve"> </v>
      </c>
    </row>
    <row r="8" spans="1:12">
      <c r="A8">
        <v>43110</v>
      </c>
      <c r="B8" s="83" t="s">
        <v>68</v>
      </c>
      <c r="C8" s="83"/>
      <c r="E8" s="237">
        <v>0</v>
      </c>
      <c r="F8" s="237">
        <v>0</v>
      </c>
      <c r="G8" s="238">
        <v>6000</v>
      </c>
      <c r="H8" s="238">
        <v>0</v>
      </c>
      <c r="I8" s="238">
        <v>0</v>
      </c>
      <c r="J8" s="238">
        <v>0</v>
      </c>
      <c r="K8" s="251">
        <v>6000</v>
      </c>
      <c r="L8" t="str">
        <f t="shared" si="0"/>
        <v xml:space="preserve"> </v>
      </c>
    </row>
    <row r="9" spans="1:12">
      <c r="A9">
        <v>43200</v>
      </c>
      <c r="B9" s="83" t="s">
        <v>114</v>
      </c>
      <c r="C9" s="83"/>
      <c r="E9" s="237">
        <v>0</v>
      </c>
      <c r="F9" s="237">
        <v>0</v>
      </c>
      <c r="G9" s="238">
        <v>0</v>
      </c>
      <c r="H9" s="238">
        <v>0</v>
      </c>
      <c r="I9" s="238">
        <v>44000</v>
      </c>
      <c r="J9" s="238">
        <v>0</v>
      </c>
      <c r="K9" s="251">
        <v>44000</v>
      </c>
      <c r="L9" t="str">
        <f t="shared" si="0"/>
        <v xml:space="preserve"> </v>
      </c>
    </row>
    <row r="10" spans="1:12" hidden="1">
      <c r="A10">
        <v>43210</v>
      </c>
      <c r="B10" s="49" t="s">
        <v>158</v>
      </c>
      <c r="C10" s="83"/>
      <c r="E10" s="237"/>
      <c r="F10" s="237"/>
      <c r="G10" s="238"/>
      <c r="H10" s="238"/>
      <c r="I10" s="238"/>
      <c r="J10" s="238"/>
      <c r="K10" s="251"/>
    </row>
    <row r="11" spans="1:12">
      <c r="A11">
        <v>44150</v>
      </c>
      <c r="B11" s="83" t="s">
        <v>11</v>
      </c>
      <c r="C11" s="83"/>
      <c r="E11" s="237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2000</v>
      </c>
      <c r="K11" s="251">
        <v>2000</v>
      </c>
      <c r="L11" t="str">
        <f t="shared" si="0"/>
        <v xml:space="preserve"> </v>
      </c>
    </row>
    <row r="12" spans="1:12">
      <c r="A12">
        <v>44200</v>
      </c>
      <c r="B12" s="49" t="s">
        <v>159</v>
      </c>
      <c r="C12" s="83"/>
      <c r="E12" s="237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12000</v>
      </c>
      <c r="K12" s="251">
        <v>12000</v>
      </c>
      <c r="L12" t="str">
        <f t="shared" si="0"/>
        <v xml:space="preserve"> </v>
      </c>
    </row>
    <row r="13" spans="1:12">
      <c r="A13">
        <v>44900</v>
      </c>
      <c r="B13" s="49" t="s">
        <v>160</v>
      </c>
      <c r="C13" s="83"/>
      <c r="E13" s="237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51">
        <v>0</v>
      </c>
      <c r="L13" t="str">
        <f t="shared" si="0"/>
        <v xml:space="preserve"> </v>
      </c>
    </row>
    <row r="14" spans="1:12">
      <c r="B14" s="49" t="s">
        <v>161</v>
      </c>
      <c r="C14" s="83"/>
      <c r="E14" s="237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51">
        <v>0</v>
      </c>
      <c r="L14" t="str">
        <f t="shared" si="0"/>
        <v xml:space="preserve"> </v>
      </c>
    </row>
    <row r="15" spans="1:12" s="3" customFormat="1">
      <c r="B15" s="24" t="s">
        <v>28</v>
      </c>
      <c r="C15" s="24"/>
      <c r="E15" s="247">
        <v>791300</v>
      </c>
      <c r="F15" s="247">
        <v>75000</v>
      </c>
      <c r="G15" s="247">
        <v>71000</v>
      </c>
      <c r="H15" s="247">
        <v>188550</v>
      </c>
      <c r="I15" s="247">
        <v>44000</v>
      </c>
      <c r="J15" s="247">
        <v>14000</v>
      </c>
      <c r="K15" s="252">
        <v>1183850</v>
      </c>
      <c r="L15" t="str">
        <f t="shared" si="0"/>
        <v xml:space="preserve"> </v>
      </c>
    </row>
    <row r="16" spans="1:12">
      <c r="B16" s="83"/>
      <c r="C16" s="83"/>
      <c r="E16" s="237"/>
      <c r="F16" s="238"/>
      <c r="G16" s="238"/>
      <c r="H16" s="238"/>
      <c r="I16" s="238"/>
      <c r="J16" s="238"/>
      <c r="K16" s="251"/>
      <c r="L16" t="str">
        <f t="shared" si="0"/>
        <v xml:space="preserve"> </v>
      </c>
    </row>
    <row r="17" spans="1:12">
      <c r="B17" s="24" t="s">
        <v>87</v>
      </c>
      <c r="C17" s="83"/>
      <c r="E17" s="237"/>
      <c r="F17" s="238"/>
      <c r="G17" s="238"/>
      <c r="H17" s="238"/>
      <c r="I17" s="238"/>
      <c r="J17" s="238"/>
      <c r="K17" s="251"/>
      <c r="L17" t="str">
        <f t="shared" si="0"/>
        <v xml:space="preserve"> </v>
      </c>
    </row>
    <row r="18" spans="1:12">
      <c r="A18">
        <v>68100</v>
      </c>
      <c r="B18" s="49" t="s">
        <v>162</v>
      </c>
      <c r="C18" s="83"/>
      <c r="E18" s="237">
        <v>0</v>
      </c>
      <c r="F18" s="238">
        <v>0</v>
      </c>
      <c r="G18" s="238">
        <v>28000</v>
      </c>
      <c r="H18" s="238">
        <v>0</v>
      </c>
      <c r="I18" s="238">
        <v>0</v>
      </c>
      <c r="J18" s="238">
        <v>0</v>
      </c>
      <c r="K18" s="251">
        <v>28000</v>
      </c>
      <c r="L18" t="str">
        <f t="shared" si="0"/>
        <v xml:space="preserve"> </v>
      </c>
    </row>
    <row r="19" spans="1:12">
      <c r="A19">
        <v>68150</v>
      </c>
      <c r="B19" s="83" t="s">
        <v>68</v>
      </c>
      <c r="C19" s="83"/>
      <c r="E19" s="237">
        <v>0</v>
      </c>
      <c r="F19" s="238">
        <v>0</v>
      </c>
      <c r="G19" s="238">
        <v>3000</v>
      </c>
      <c r="H19" s="238">
        <v>0</v>
      </c>
      <c r="I19" s="238">
        <v>0</v>
      </c>
      <c r="J19" s="238">
        <v>0</v>
      </c>
      <c r="K19" s="251">
        <v>3000</v>
      </c>
      <c r="L19" t="str">
        <f t="shared" si="0"/>
        <v xml:space="preserve"> </v>
      </c>
    </row>
    <row r="20" spans="1:12">
      <c r="A20">
        <v>68200</v>
      </c>
      <c r="B20" s="83" t="s">
        <v>54</v>
      </c>
      <c r="C20" s="83"/>
      <c r="E20" s="237">
        <v>0</v>
      </c>
      <c r="F20" s="238">
        <v>0</v>
      </c>
      <c r="G20" s="238">
        <v>0</v>
      </c>
      <c r="H20" s="238">
        <v>0</v>
      </c>
      <c r="I20" s="238">
        <v>30000</v>
      </c>
      <c r="J20" s="238">
        <v>0</v>
      </c>
      <c r="K20" s="251">
        <v>30000</v>
      </c>
      <c r="L20" t="str">
        <f t="shared" si="0"/>
        <v xml:space="preserve"> </v>
      </c>
    </row>
    <row r="21" spans="1:12" s="3" customFormat="1">
      <c r="B21" s="24" t="s">
        <v>88</v>
      </c>
      <c r="C21" s="24"/>
      <c r="E21" s="247">
        <v>0</v>
      </c>
      <c r="F21" s="246">
        <v>0</v>
      </c>
      <c r="G21" s="246">
        <v>31000</v>
      </c>
      <c r="H21" s="246">
        <v>0</v>
      </c>
      <c r="I21" s="246">
        <v>30000</v>
      </c>
      <c r="J21" s="248">
        <v>0</v>
      </c>
      <c r="K21" s="252">
        <v>61000</v>
      </c>
      <c r="L21" t="str">
        <f t="shared" si="0"/>
        <v xml:space="preserve"> </v>
      </c>
    </row>
    <row r="22" spans="1:12">
      <c r="B22" s="83"/>
      <c r="C22" s="83"/>
      <c r="E22" s="237"/>
      <c r="F22" s="238"/>
      <c r="G22" s="238"/>
      <c r="H22" s="238"/>
      <c r="I22" s="238"/>
      <c r="J22" s="238"/>
      <c r="K22" s="251"/>
      <c r="L22" t="str">
        <f t="shared" si="0"/>
        <v xml:space="preserve"> </v>
      </c>
    </row>
    <row r="23" spans="1:12" s="3" customFormat="1">
      <c r="B23" s="24" t="s">
        <v>89</v>
      </c>
      <c r="C23" s="24"/>
      <c r="E23" s="246">
        <v>791300</v>
      </c>
      <c r="F23" s="246">
        <v>75000</v>
      </c>
      <c r="G23" s="246">
        <v>40000</v>
      </c>
      <c r="H23" s="246">
        <v>188550</v>
      </c>
      <c r="I23" s="246">
        <v>14000</v>
      </c>
      <c r="J23" s="246">
        <v>14000</v>
      </c>
      <c r="K23" s="252">
        <v>1122850</v>
      </c>
      <c r="L23" t="str">
        <f t="shared" si="0"/>
        <v xml:space="preserve"> </v>
      </c>
    </row>
    <row r="24" spans="1:12">
      <c r="B24" s="83"/>
      <c r="C24" s="83"/>
      <c r="E24" s="237"/>
      <c r="F24" s="238"/>
      <c r="G24" s="238"/>
      <c r="H24" s="238"/>
      <c r="I24" s="238"/>
      <c r="J24" s="238"/>
      <c r="K24" s="251"/>
      <c r="L24" t="str">
        <f t="shared" si="0"/>
        <v xml:space="preserve"> </v>
      </c>
    </row>
    <row r="25" spans="1:12">
      <c r="B25" s="24" t="s">
        <v>132</v>
      </c>
      <c r="C25" s="83"/>
      <c r="E25" s="237"/>
      <c r="F25" s="238"/>
      <c r="G25" s="238"/>
      <c r="H25" s="238"/>
      <c r="I25" s="238"/>
      <c r="J25" s="238"/>
      <c r="K25" s="251"/>
      <c r="L25" t="str">
        <f t="shared" si="0"/>
        <v xml:space="preserve"> </v>
      </c>
    </row>
    <row r="26" spans="1:12">
      <c r="A26">
        <v>61100</v>
      </c>
      <c r="B26" s="83" t="s">
        <v>7</v>
      </c>
      <c r="C26" s="83"/>
      <c r="E26" s="237">
        <v>241687.86874999999</v>
      </c>
      <c r="F26" s="238">
        <v>0</v>
      </c>
      <c r="G26" s="238">
        <v>31900</v>
      </c>
      <c r="H26" s="238">
        <v>82615.747499999998</v>
      </c>
      <c r="I26" s="238">
        <v>6000</v>
      </c>
      <c r="J26" s="238">
        <v>0</v>
      </c>
      <c r="K26" s="251">
        <v>362203.61625000002</v>
      </c>
      <c r="L26" t="str">
        <f t="shared" si="0"/>
        <v xml:space="preserve"> </v>
      </c>
    </row>
    <row r="27" spans="1:12">
      <c r="A27">
        <v>62100</v>
      </c>
      <c r="B27" s="49" t="s">
        <v>6</v>
      </c>
      <c r="C27" s="83"/>
      <c r="E27" s="237">
        <v>22960.347531249998</v>
      </c>
      <c r="F27" s="238">
        <v>0</v>
      </c>
      <c r="G27" s="238">
        <v>3030.5</v>
      </c>
      <c r="H27" s="238">
        <v>7848.4960124999989</v>
      </c>
      <c r="I27" s="238">
        <v>570</v>
      </c>
      <c r="J27" s="238">
        <v>0</v>
      </c>
      <c r="K27" s="251">
        <v>34409.343543749994</v>
      </c>
      <c r="L27" t="str">
        <f t="shared" si="0"/>
        <v xml:space="preserve"> </v>
      </c>
    </row>
    <row r="28" spans="1:12">
      <c r="A28">
        <v>62220</v>
      </c>
      <c r="B28" s="49" t="s">
        <v>146</v>
      </c>
      <c r="C28" s="83"/>
      <c r="E28" s="237">
        <v>13437.845502500002</v>
      </c>
      <c r="F28" s="238">
        <v>0</v>
      </c>
      <c r="G28" s="238">
        <v>1773.6399999999999</v>
      </c>
      <c r="H28" s="238">
        <v>4593.4355610000002</v>
      </c>
      <c r="I28" s="238">
        <v>333.59999999999997</v>
      </c>
      <c r="J28" s="238">
        <v>0</v>
      </c>
      <c r="K28" s="251">
        <v>20138.5210635</v>
      </c>
      <c r="L28" t="str">
        <f t="shared" si="0"/>
        <v xml:space="preserve"> </v>
      </c>
    </row>
    <row r="29" spans="1:12">
      <c r="A29">
        <v>623300</v>
      </c>
      <c r="B29" s="83" t="s">
        <v>8</v>
      </c>
      <c r="C29" s="83"/>
      <c r="E29" s="237">
        <v>1100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51">
        <v>1100</v>
      </c>
      <c r="L29" t="str">
        <f t="shared" si="0"/>
        <v xml:space="preserve"> </v>
      </c>
    </row>
    <row r="30" spans="1:12">
      <c r="A30">
        <v>63100</v>
      </c>
      <c r="B30" s="83" t="s">
        <v>5</v>
      </c>
      <c r="C30" s="83"/>
      <c r="E30" s="237">
        <v>10000</v>
      </c>
      <c r="F30" s="238">
        <v>0</v>
      </c>
      <c r="G30" s="238">
        <v>300</v>
      </c>
      <c r="H30" s="238">
        <v>0</v>
      </c>
      <c r="I30" s="238">
        <v>0</v>
      </c>
      <c r="J30" s="238">
        <v>0</v>
      </c>
      <c r="K30" s="251">
        <v>10300</v>
      </c>
      <c r="L30" t="str">
        <f t="shared" si="0"/>
        <v xml:space="preserve"> </v>
      </c>
    </row>
    <row r="31" spans="1:12">
      <c r="A31" s="116" t="s">
        <v>168</v>
      </c>
      <c r="B31" s="49" t="s">
        <v>147</v>
      </c>
      <c r="C31" s="83"/>
      <c r="E31" s="237">
        <v>44983.94999999999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51">
        <v>44983.94999999999</v>
      </c>
      <c r="L31" t="str">
        <f t="shared" si="0"/>
        <v xml:space="preserve"> </v>
      </c>
    </row>
    <row r="32" spans="1:12">
      <c r="B32" s="49" t="s">
        <v>163</v>
      </c>
      <c r="C32" s="83"/>
      <c r="E32" s="237"/>
      <c r="F32" s="238"/>
      <c r="G32" s="238"/>
      <c r="H32" s="238"/>
      <c r="I32" s="238"/>
      <c r="J32" s="238"/>
      <c r="K32" s="251"/>
    </row>
    <row r="33" spans="1:12">
      <c r="B33" s="24" t="s">
        <v>141</v>
      </c>
      <c r="C33" s="24"/>
      <c r="E33" s="237"/>
      <c r="F33" s="238"/>
      <c r="G33" s="238"/>
      <c r="H33" s="238"/>
      <c r="I33" s="238"/>
      <c r="J33" s="238"/>
      <c r="K33" s="251"/>
      <c r="L33" t="str">
        <f t="shared" si="0"/>
        <v xml:space="preserve"> </v>
      </c>
    </row>
    <row r="34" spans="1:12">
      <c r="A34">
        <v>67100</v>
      </c>
      <c r="B34" s="83" t="s">
        <v>2</v>
      </c>
      <c r="C34" s="83"/>
      <c r="E34" s="237">
        <v>30301</v>
      </c>
      <c r="F34" s="238">
        <v>0</v>
      </c>
      <c r="G34" s="238">
        <v>0</v>
      </c>
      <c r="H34" s="238">
        <v>4230</v>
      </c>
      <c r="I34" s="238">
        <v>0</v>
      </c>
      <c r="J34" s="238">
        <v>0</v>
      </c>
      <c r="K34" s="251">
        <v>34531</v>
      </c>
      <c r="L34" t="str">
        <f t="shared" si="0"/>
        <v xml:space="preserve"> </v>
      </c>
    </row>
    <row r="35" spans="1:12">
      <c r="A35">
        <v>69350</v>
      </c>
      <c r="B35" s="83" t="s">
        <v>85</v>
      </c>
      <c r="C35" s="83"/>
      <c r="E35" s="237">
        <v>0</v>
      </c>
      <c r="F35" s="238">
        <v>55000</v>
      </c>
      <c r="G35" s="238">
        <v>0</v>
      </c>
      <c r="H35" s="238">
        <v>0</v>
      </c>
      <c r="I35" s="238">
        <v>0</v>
      </c>
      <c r="J35" s="238">
        <v>0</v>
      </c>
      <c r="K35" s="251">
        <v>55000</v>
      </c>
      <c r="L35" t="str">
        <f t="shared" si="0"/>
        <v xml:space="preserve"> </v>
      </c>
    </row>
    <row r="36" spans="1:12" hidden="1">
      <c r="A36" s="163">
        <v>69351</v>
      </c>
      <c r="B36" s="49" t="s">
        <v>140</v>
      </c>
      <c r="C36" s="83"/>
      <c r="E36" s="237"/>
      <c r="F36" s="238">
        <v>0</v>
      </c>
      <c r="G36" s="238"/>
      <c r="H36" s="238"/>
      <c r="I36" s="238"/>
      <c r="J36" s="238"/>
      <c r="K36" s="251">
        <v>0</v>
      </c>
      <c r="L36" t="str">
        <f t="shared" si="0"/>
        <v xml:space="preserve"> </v>
      </c>
    </row>
    <row r="37" spans="1:12">
      <c r="A37" s="163">
        <v>69300</v>
      </c>
      <c r="B37" s="49" t="s">
        <v>25</v>
      </c>
      <c r="C37" s="83"/>
      <c r="E37" s="237">
        <v>0</v>
      </c>
      <c r="F37" s="238">
        <v>0</v>
      </c>
      <c r="G37" s="238">
        <v>0</v>
      </c>
      <c r="H37" s="238">
        <v>34000</v>
      </c>
      <c r="I37" s="238">
        <v>0</v>
      </c>
      <c r="J37" s="238">
        <v>0</v>
      </c>
      <c r="K37" s="251">
        <v>34000</v>
      </c>
      <c r="L37" t="str">
        <f t="shared" si="0"/>
        <v xml:space="preserve"> </v>
      </c>
    </row>
    <row r="38" spans="1:12">
      <c r="A38">
        <v>69260</v>
      </c>
      <c r="B38" s="83" t="s">
        <v>32</v>
      </c>
      <c r="C38" s="83"/>
      <c r="E38" s="237">
        <v>11580</v>
      </c>
      <c r="F38" s="238">
        <v>0</v>
      </c>
      <c r="G38" s="238">
        <v>0</v>
      </c>
      <c r="H38" s="238">
        <v>3172.5</v>
      </c>
      <c r="I38" s="238">
        <v>0</v>
      </c>
      <c r="J38" s="238">
        <v>0</v>
      </c>
      <c r="K38" s="251">
        <v>14752.5</v>
      </c>
      <c r="L38" t="str">
        <f t="shared" si="0"/>
        <v xml:space="preserve"> </v>
      </c>
    </row>
    <row r="39" spans="1:12">
      <c r="A39">
        <v>69250</v>
      </c>
      <c r="B39" s="83" t="s">
        <v>63</v>
      </c>
      <c r="C39" s="83"/>
      <c r="E39" s="237">
        <v>2702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51">
        <v>2702</v>
      </c>
      <c r="L39" t="str">
        <f t="shared" si="0"/>
        <v xml:space="preserve"> </v>
      </c>
    </row>
    <row r="40" spans="1:12">
      <c r="A40">
        <v>65100</v>
      </c>
      <c r="B40" s="49" t="s">
        <v>226</v>
      </c>
      <c r="C40" s="83"/>
      <c r="E40" s="237">
        <v>15000</v>
      </c>
      <c r="F40" s="238">
        <v>0</v>
      </c>
      <c r="G40" s="238">
        <v>0</v>
      </c>
      <c r="H40" s="238">
        <v>0</v>
      </c>
      <c r="I40" s="238">
        <v>150</v>
      </c>
      <c r="J40" s="238">
        <v>0</v>
      </c>
      <c r="K40" s="251">
        <v>15150</v>
      </c>
      <c r="L40" t="str">
        <f t="shared" si="0"/>
        <v xml:space="preserve"> </v>
      </c>
    </row>
    <row r="41" spans="1:12">
      <c r="A41">
        <v>69320</v>
      </c>
      <c r="B41" s="83" t="s">
        <v>29</v>
      </c>
      <c r="C41" s="83"/>
      <c r="E41" s="237">
        <v>1500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51">
        <v>1500</v>
      </c>
      <c r="L41" t="str">
        <f t="shared" si="0"/>
        <v xml:space="preserve"> </v>
      </c>
    </row>
    <row r="42" spans="1:12">
      <c r="B42" s="49" t="s">
        <v>227</v>
      </c>
      <c r="C42" s="83"/>
      <c r="E42" s="237">
        <v>10500</v>
      </c>
      <c r="F42" s="238">
        <v>0</v>
      </c>
      <c r="G42" s="238">
        <v>1500</v>
      </c>
      <c r="H42" s="238">
        <v>0</v>
      </c>
      <c r="I42" s="238">
        <v>0</v>
      </c>
      <c r="J42" s="238">
        <v>0</v>
      </c>
      <c r="K42" s="251">
        <v>12000</v>
      </c>
    </row>
    <row r="43" spans="1:12">
      <c r="A43">
        <v>64201</v>
      </c>
      <c r="B43" s="83" t="s">
        <v>56</v>
      </c>
      <c r="C43" s="49"/>
      <c r="E43" s="237">
        <v>0</v>
      </c>
      <c r="F43" s="238">
        <v>700</v>
      </c>
      <c r="G43" s="238">
        <v>0</v>
      </c>
      <c r="H43" s="238">
        <v>0</v>
      </c>
      <c r="I43" s="238"/>
      <c r="J43" s="238">
        <v>2000</v>
      </c>
      <c r="K43" s="251">
        <v>2700</v>
      </c>
      <c r="L43" t="str">
        <f t="shared" si="0"/>
        <v xml:space="preserve"> </v>
      </c>
    </row>
    <row r="44" spans="1:12">
      <c r="B44" s="24" t="s">
        <v>133</v>
      </c>
      <c r="C44" s="83"/>
      <c r="E44" s="237"/>
      <c r="F44" s="238"/>
      <c r="G44" s="238"/>
      <c r="H44" s="238"/>
      <c r="I44" s="238"/>
      <c r="J44" s="238"/>
      <c r="K44" s="251"/>
      <c r="L44" t="str">
        <f t="shared" si="0"/>
        <v xml:space="preserve"> </v>
      </c>
    </row>
    <row r="45" spans="1:12">
      <c r="A45">
        <v>69200</v>
      </c>
      <c r="B45" s="49" t="s">
        <v>235</v>
      </c>
      <c r="C45" s="83"/>
      <c r="E45" s="237">
        <v>5200</v>
      </c>
      <c r="F45" s="238">
        <v>900</v>
      </c>
      <c r="G45" s="238">
        <v>1476.8</v>
      </c>
      <c r="H45" s="238">
        <v>0</v>
      </c>
      <c r="I45" s="238">
        <v>400</v>
      </c>
      <c r="J45" s="238">
        <v>0</v>
      </c>
      <c r="K45" s="251">
        <v>7976.8</v>
      </c>
      <c r="L45" t="str">
        <f t="shared" si="0"/>
        <v xml:space="preserve"> </v>
      </c>
    </row>
    <row r="46" spans="1:12">
      <c r="A46">
        <v>64100</v>
      </c>
      <c r="B46" s="83" t="s">
        <v>27</v>
      </c>
      <c r="C46" s="83"/>
      <c r="E46" s="237">
        <v>10800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51">
        <v>10800</v>
      </c>
      <c r="L46" t="str">
        <f t="shared" si="0"/>
        <v xml:space="preserve"> </v>
      </c>
    </row>
    <row r="47" spans="1:12">
      <c r="A47">
        <v>69650</v>
      </c>
      <c r="B47" s="83" t="s">
        <v>65</v>
      </c>
      <c r="C47" s="83"/>
      <c r="E47" s="237">
        <v>1800</v>
      </c>
      <c r="F47" s="238">
        <v>0</v>
      </c>
      <c r="G47" s="238">
        <v>105</v>
      </c>
      <c r="H47" s="238">
        <v>0</v>
      </c>
      <c r="I47" s="238">
        <v>0</v>
      </c>
      <c r="J47" s="238">
        <v>0</v>
      </c>
      <c r="K47" s="251">
        <v>1905</v>
      </c>
      <c r="L47" t="str">
        <f t="shared" si="0"/>
        <v xml:space="preserve"> </v>
      </c>
    </row>
    <row r="48" spans="1:12">
      <c r="A48">
        <v>69700</v>
      </c>
      <c r="B48" s="83" t="s">
        <v>62</v>
      </c>
      <c r="C48" s="83"/>
      <c r="E48" s="237">
        <v>1800</v>
      </c>
      <c r="F48" s="238">
        <v>0</v>
      </c>
      <c r="G48" s="238">
        <v>420</v>
      </c>
      <c r="H48" s="238">
        <v>0</v>
      </c>
      <c r="I48" s="238">
        <v>0</v>
      </c>
      <c r="J48" s="238">
        <v>0</v>
      </c>
      <c r="K48" s="251">
        <v>2220</v>
      </c>
      <c r="L48" t="str">
        <f t="shared" si="0"/>
        <v xml:space="preserve"> </v>
      </c>
    </row>
    <row r="49" spans="1:12">
      <c r="A49">
        <v>69900</v>
      </c>
      <c r="B49" s="83" t="s">
        <v>72</v>
      </c>
      <c r="C49" s="83"/>
      <c r="E49" s="237">
        <v>2000</v>
      </c>
      <c r="F49" s="238">
        <v>0</v>
      </c>
      <c r="G49" s="239">
        <v>799.99999999999989</v>
      </c>
      <c r="H49" s="239">
        <v>0</v>
      </c>
      <c r="I49" s="238">
        <v>0</v>
      </c>
      <c r="J49" s="238">
        <v>0</v>
      </c>
      <c r="K49" s="251">
        <v>2800</v>
      </c>
      <c r="L49" t="str">
        <f t="shared" si="0"/>
        <v xml:space="preserve"> </v>
      </c>
    </row>
    <row r="50" spans="1:12">
      <c r="A50">
        <v>66100</v>
      </c>
      <c r="B50" s="83" t="s">
        <v>4</v>
      </c>
      <c r="C50" s="83"/>
      <c r="E50" s="237">
        <v>7000</v>
      </c>
      <c r="F50" s="238">
        <v>0</v>
      </c>
      <c r="G50" s="238">
        <v>500</v>
      </c>
      <c r="H50" s="238">
        <v>0</v>
      </c>
      <c r="I50" s="238">
        <v>0</v>
      </c>
      <c r="J50" s="238">
        <v>0</v>
      </c>
      <c r="K50" s="251">
        <v>7500</v>
      </c>
      <c r="L50" t="str">
        <f t="shared" si="0"/>
        <v xml:space="preserve"> </v>
      </c>
    </row>
    <row r="51" spans="1:12" s="116" customFormat="1">
      <c r="A51" s="116">
        <v>69750</v>
      </c>
      <c r="B51" s="49" t="s">
        <v>137</v>
      </c>
      <c r="C51" s="49"/>
      <c r="E51" s="240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51">
        <v>0</v>
      </c>
      <c r="L51" t="str">
        <f t="shared" si="0"/>
        <v xml:space="preserve"> </v>
      </c>
    </row>
    <row r="52" spans="1:12" s="116" customFormat="1">
      <c r="B52" s="149" t="s">
        <v>224</v>
      </c>
      <c r="C52" s="49"/>
      <c r="E52" s="240">
        <v>4000</v>
      </c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51">
        <v>4000</v>
      </c>
      <c r="L52"/>
    </row>
    <row r="53" spans="1:12" s="116" customFormat="1">
      <c r="B53" s="24" t="s">
        <v>45</v>
      </c>
      <c r="C53" s="24"/>
      <c r="E53" s="240"/>
      <c r="F53" s="241"/>
      <c r="G53" s="241"/>
      <c r="H53" s="241"/>
      <c r="I53" s="241"/>
      <c r="J53" s="241"/>
      <c r="K53" s="253"/>
      <c r="L53" t="str">
        <f t="shared" si="0"/>
        <v xml:space="preserve"> </v>
      </c>
    </row>
    <row r="54" spans="1:12" s="116" customFormat="1">
      <c r="A54" s="116">
        <v>235524</v>
      </c>
      <c r="B54" s="49" t="s">
        <v>236</v>
      </c>
      <c r="C54" s="49"/>
      <c r="E54" s="240">
        <v>218200.62400000004</v>
      </c>
      <c r="F54" s="241">
        <v>11817.624</v>
      </c>
      <c r="G54" s="241">
        <v>5750</v>
      </c>
      <c r="H54" s="241">
        <v>34000</v>
      </c>
      <c r="I54" s="241">
        <v>165</v>
      </c>
      <c r="J54" s="241">
        <v>0</v>
      </c>
      <c r="K54" s="253">
        <v>269933.24800000002</v>
      </c>
      <c r="L54" t="str">
        <f t="shared" si="0"/>
        <v xml:space="preserve"> </v>
      </c>
    </row>
    <row r="55" spans="1:12" s="116" customFormat="1">
      <c r="A55" s="116">
        <v>62100</v>
      </c>
      <c r="B55" s="49" t="s">
        <v>143</v>
      </c>
      <c r="C55" s="49"/>
      <c r="E55" s="240">
        <v>20729.059280000001</v>
      </c>
      <c r="F55" s="241">
        <v>1122.6742800000002</v>
      </c>
      <c r="G55" s="241">
        <v>546.25</v>
      </c>
      <c r="H55" s="241">
        <v>3230</v>
      </c>
      <c r="I55" s="241">
        <v>1500</v>
      </c>
      <c r="J55" s="241">
        <v>0</v>
      </c>
      <c r="K55" s="253">
        <v>27127.983560000001</v>
      </c>
      <c r="L55" t="str">
        <f t="shared" si="0"/>
        <v xml:space="preserve"> </v>
      </c>
    </row>
    <row r="56" spans="1:12" s="116" customFormat="1">
      <c r="A56" s="116">
        <v>62200</v>
      </c>
      <c r="B56" s="49" t="s">
        <v>144</v>
      </c>
      <c r="C56" s="49"/>
      <c r="E56" s="240">
        <v>12131.954694399999</v>
      </c>
      <c r="F56" s="241">
        <v>657.05989440000008</v>
      </c>
      <c r="G56" s="241">
        <v>319.7</v>
      </c>
      <c r="H56" s="241">
        <v>1870</v>
      </c>
      <c r="I56" s="241">
        <v>0</v>
      </c>
      <c r="J56" s="241">
        <v>0</v>
      </c>
      <c r="K56" s="253">
        <v>14978.7145888</v>
      </c>
      <c r="L56" t="str">
        <f t="shared" si="0"/>
        <v xml:space="preserve"> </v>
      </c>
    </row>
    <row r="57" spans="1:12" s="116" customFormat="1">
      <c r="A57" s="116">
        <v>69100</v>
      </c>
      <c r="B57" s="49" t="s">
        <v>0</v>
      </c>
      <c r="C57" s="49"/>
      <c r="E57" s="240">
        <v>2475</v>
      </c>
      <c r="F57" s="241">
        <v>165</v>
      </c>
      <c r="G57" s="241">
        <v>165</v>
      </c>
      <c r="H57" s="241">
        <v>330</v>
      </c>
      <c r="I57" s="241">
        <v>0</v>
      </c>
      <c r="J57" s="241">
        <v>0</v>
      </c>
      <c r="K57" s="253">
        <v>3135</v>
      </c>
      <c r="L57" t="str">
        <f t="shared" si="0"/>
        <v xml:space="preserve"> </v>
      </c>
    </row>
    <row r="58" spans="1:12" s="116" customFormat="1">
      <c r="A58" s="116">
        <v>69110</v>
      </c>
      <c r="B58" s="49" t="s">
        <v>134</v>
      </c>
      <c r="C58" s="49"/>
      <c r="E58" s="240">
        <v>22500</v>
      </c>
      <c r="F58" s="241">
        <v>1500</v>
      </c>
      <c r="G58" s="241">
        <v>1500</v>
      </c>
      <c r="H58" s="241">
        <v>3000</v>
      </c>
      <c r="I58" s="241">
        <v>0</v>
      </c>
      <c r="J58" s="241">
        <v>0</v>
      </c>
      <c r="K58" s="253">
        <v>28500</v>
      </c>
      <c r="L58" t="str">
        <f t="shared" si="0"/>
        <v xml:space="preserve"> </v>
      </c>
    </row>
    <row r="59" spans="1:12" s="116" customFormat="1">
      <c r="A59" s="116">
        <v>69450</v>
      </c>
      <c r="B59" s="49" t="s">
        <v>164</v>
      </c>
      <c r="C59" s="49"/>
      <c r="E59" s="240">
        <v>1500</v>
      </c>
      <c r="F59" s="241">
        <v>100</v>
      </c>
      <c r="G59" s="241">
        <v>100</v>
      </c>
      <c r="H59" s="241">
        <v>200</v>
      </c>
      <c r="I59" s="241">
        <v>100</v>
      </c>
      <c r="J59" s="241">
        <v>0</v>
      </c>
      <c r="K59" s="253">
        <v>2000</v>
      </c>
      <c r="L59"/>
    </row>
    <row r="60" spans="1:12" s="116" customFormat="1">
      <c r="A60" s="116">
        <v>69550</v>
      </c>
      <c r="B60" s="49" t="s">
        <v>231</v>
      </c>
      <c r="C60" s="49"/>
      <c r="E60" s="240">
        <v>26520</v>
      </c>
      <c r="F60" s="241">
        <v>9500</v>
      </c>
      <c r="G60" s="241">
        <v>0</v>
      </c>
      <c r="H60" s="241">
        <v>3570</v>
      </c>
      <c r="I60" s="241">
        <v>0</v>
      </c>
      <c r="J60" s="241">
        <v>0</v>
      </c>
      <c r="K60" s="253">
        <v>39590</v>
      </c>
      <c r="L60" t="str">
        <f t="shared" si="0"/>
        <v xml:space="preserve"> </v>
      </c>
    </row>
    <row r="61" spans="1:12" s="116" customFormat="1">
      <c r="A61" s="116">
        <v>69550</v>
      </c>
      <c r="B61" s="49" t="s">
        <v>232</v>
      </c>
      <c r="C61" s="49"/>
      <c r="E61" s="240">
        <v>3580.4344531447337</v>
      </c>
      <c r="F61" s="241">
        <v>1282.5839858550139</v>
      </c>
      <c r="G61" s="241">
        <v>0</v>
      </c>
      <c r="H61" s="241">
        <v>481.98156100025261</v>
      </c>
      <c r="I61" s="241">
        <v>0</v>
      </c>
      <c r="J61" s="241">
        <v>0</v>
      </c>
      <c r="K61" s="253">
        <v>5345</v>
      </c>
      <c r="L61" t="str">
        <f t="shared" si="0"/>
        <v xml:space="preserve"> </v>
      </c>
    </row>
    <row r="62" spans="1:12">
      <c r="B62" s="83"/>
      <c r="C62" s="83"/>
      <c r="E62" s="237"/>
      <c r="F62" s="238"/>
      <c r="G62" s="238"/>
      <c r="H62" s="238"/>
      <c r="I62" s="238"/>
      <c r="J62" s="238"/>
      <c r="K62" s="251"/>
      <c r="L62" t="str">
        <f t="shared" si="0"/>
        <v xml:space="preserve"> </v>
      </c>
    </row>
    <row r="63" spans="1:12" s="3" customFormat="1">
      <c r="B63" s="24" t="s">
        <v>30</v>
      </c>
      <c r="C63" s="24"/>
      <c r="E63" s="243">
        <v>745990.08421129489</v>
      </c>
      <c r="F63" s="243">
        <v>82744.942160255014</v>
      </c>
      <c r="G63" s="243">
        <v>50186.89</v>
      </c>
      <c r="H63" s="243">
        <v>183142.16063450024</v>
      </c>
      <c r="I63" s="243">
        <v>9218.6</v>
      </c>
      <c r="J63" s="243">
        <v>2000</v>
      </c>
      <c r="K63" s="252">
        <v>1073282.67700605</v>
      </c>
      <c r="L63" t="str">
        <f t="shared" si="0"/>
        <v xml:space="preserve"> </v>
      </c>
    </row>
    <row r="64" spans="1:12">
      <c r="B64" s="83"/>
      <c r="C64" s="83"/>
      <c r="E64" s="237"/>
      <c r="F64" s="238"/>
      <c r="G64" s="238"/>
      <c r="H64" s="238"/>
      <c r="I64" s="238"/>
      <c r="J64" s="238"/>
      <c r="K64" s="251"/>
      <c r="L64" t="str">
        <f t="shared" si="0"/>
        <v xml:space="preserve"> </v>
      </c>
    </row>
    <row r="65" spans="1:12" s="158" customFormat="1">
      <c r="B65" s="160" t="s">
        <v>135</v>
      </c>
      <c r="C65" s="160"/>
      <c r="E65" s="243">
        <v>45309.915788705111</v>
      </c>
      <c r="F65" s="243">
        <v>-7744.9421602550137</v>
      </c>
      <c r="G65" s="243">
        <v>-10186.89</v>
      </c>
      <c r="H65" s="243">
        <v>5407.8393654997635</v>
      </c>
      <c r="I65" s="243">
        <v>4781.3999999999996</v>
      </c>
      <c r="J65" s="243">
        <v>12000</v>
      </c>
      <c r="K65" s="252">
        <v>49567.322993949987</v>
      </c>
      <c r="L65" s="156" t="str">
        <f>IF(ROUND((J65+I65+H65+G65+F65+E65),0)=ROUND(K65,0)," ","error")</f>
        <v xml:space="preserve"> </v>
      </c>
    </row>
    <row r="66" spans="1:12">
      <c r="B66" s="6"/>
      <c r="C66" s="6"/>
      <c r="E66" s="242" t="s">
        <v>201</v>
      </c>
      <c r="F66" s="242" t="s">
        <v>201</v>
      </c>
      <c r="G66" s="242" t="s">
        <v>201</v>
      </c>
      <c r="H66" s="242" t="s">
        <v>201</v>
      </c>
      <c r="I66" s="242" t="s">
        <v>201</v>
      </c>
      <c r="J66" s="242"/>
      <c r="K66" s="254"/>
    </row>
    <row r="67" spans="1:12">
      <c r="A67">
        <v>69400</v>
      </c>
      <c r="B67" s="49" t="s">
        <v>131</v>
      </c>
      <c r="C67" s="6"/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11000</v>
      </c>
      <c r="K67" s="254">
        <v>11000</v>
      </c>
      <c r="L67" t="str">
        <f t="shared" si="0"/>
        <v xml:space="preserve"> </v>
      </c>
    </row>
    <row r="68" spans="1:12">
      <c r="A68">
        <v>69400</v>
      </c>
      <c r="B68" s="49" t="s">
        <v>228</v>
      </c>
      <c r="C68" s="6"/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/>
      <c r="K68" s="254">
        <v>0</v>
      </c>
      <c r="L68" t="str">
        <f t="shared" si="0"/>
        <v xml:space="preserve"> </v>
      </c>
    </row>
    <row r="69" spans="1:12">
      <c r="B69" s="49"/>
      <c r="C69" s="6"/>
      <c r="E69" s="238"/>
      <c r="F69" s="238"/>
      <c r="G69" s="238"/>
      <c r="H69" s="238"/>
      <c r="I69" s="238"/>
      <c r="J69" s="238"/>
      <c r="K69" s="254"/>
      <c r="L69" s="116"/>
    </row>
    <row r="70" spans="1:12">
      <c r="B70" s="6"/>
      <c r="C70" s="6"/>
      <c r="E70" s="244"/>
      <c r="F70" s="245"/>
      <c r="G70" s="245"/>
      <c r="H70" s="245"/>
      <c r="I70" s="245"/>
      <c r="J70" s="238"/>
      <c r="K70" s="254"/>
      <c r="L70" t="str">
        <f t="shared" si="0"/>
        <v xml:space="preserve"> </v>
      </c>
    </row>
    <row r="71" spans="1:12" s="156" customFormat="1" ht="13.5" thickBot="1">
      <c r="B71" s="160" t="s">
        <v>136</v>
      </c>
      <c r="C71" s="154"/>
      <c r="E71" s="243">
        <v>45309.915788705111</v>
      </c>
      <c r="F71" s="243">
        <v>-7744.9421602550137</v>
      </c>
      <c r="G71" s="243">
        <v>-10186.89</v>
      </c>
      <c r="H71" s="243">
        <v>5407.8393654997635</v>
      </c>
      <c r="I71" s="243">
        <v>4781.3999999999996</v>
      </c>
      <c r="J71" s="243">
        <v>1000</v>
      </c>
      <c r="K71" s="255">
        <v>38567.322993949987</v>
      </c>
      <c r="L71" s="156" t="str">
        <f>IF(ROUND((J71+I71+H71+G71+F71+E71),0)=ROUND(K71,0)," ","error")</f>
        <v xml:space="preserve"> </v>
      </c>
    </row>
    <row r="72" spans="1:12">
      <c r="B72" s="6"/>
      <c r="C72" s="6"/>
      <c r="E72" s="49" t="s">
        <v>201</v>
      </c>
      <c r="F72" s="49" t="s">
        <v>201</v>
      </c>
      <c r="G72" s="49"/>
      <c r="H72" s="49" t="s">
        <v>201</v>
      </c>
      <c r="I72" s="49" t="s">
        <v>201</v>
      </c>
      <c r="J72" s="49"/>
      <c r="K72" s="49"/>
    </row>
    <row r="73" spans="1:12">
      <c r="B73" s="3" t="s">
        <v>117</v>
      </c>
    </row>
    <row r="75" spans="1:12">
      <c r="B75" s="3" t="s">
        <v>70</v>
      </c>
      <c r="H75" s="3" t="s">
        <v>49</v>
      </c>
    </row>
    <row r="76" spans="1:12">
      <c r="C76" s="116" t="s">
        <v>202</v>
      </c>
      <c r="H76" s="74" t="s">
        <v>120</v>
      </c>
    </row>
    <row r="77" spans="1:12">
      <c r="C77" s="124" t="s">
        <v>203</v>
      </c>
      <c r="H77" s="116" t="s">
        <v>198</v>
      </c>
    </row>
    <row r="78" spans="1:12">
      <c r="C78" s="116" t="s">
        <v>204</v>
      </c>
      <c r="H78" s="116" t="s">
        <v>233</v>
      </c>
    </row>
    <row r="79" spans="1:12">
      <c r="C79" s="116" t="s">
        <v>205</v>
      </c>
      <c r="H79" s="116" t="s">
        <v>213</v>
      </c>
    </row>
    <row r="80" spans="1:12">
      <c r="C80" s="116" t="s">
        <v>215</v>
      </c>
    </row>
    <row r="81" spans="2:8">
      <c r="C81" s="116" t="s">
        <v>206</v>
      </c>
      <c r="H81" s="3" t="s">
        <v>66</v>
      </c>
    </row>
    <row r="82" spans="2:8">
      <c r="H82" s="116" t="s">
        <v>207</v>
      </c>
    </row>
    <row r="83" spans="2:8">
      <c r="B83" s="3" t="s">
        <v>48</v>
      </c>
      <c r="H83" s="116" t="s">
        <v>214</v>
      </c>
    </row>
    <row r="84" spans="2:8">
      <c r="C84" s="124" t="s">
        <v>212</v>
      </c>
    </row>
    <row r="85" spans="2:8">
      <c r="C85" t="s">
        <v>211</v>
      </c>
      <c r="H85" s="3" t="s">
        <v>121</v>
      </c>
    </row>
    <row r="86" spans="2:8">
      <c r="C86" s="124" t="s">
        <v>216</v>
      </c>
      <c r="H86" s="74" t="s">
        <v>128</v>
      </c>
    </row>
    <row r="87" spans="2:8">
      <c r="H87" s="116" t="s">
        <v>165</v>
      </c>
    </row>
    <row r="89" spans="2:8">
      <c r="E89" s="60"/>
    </row>
    <row r="91" spans="2:8">
      <c r="E91" s="116"/>
    </row>
    <row r="92" spans="2:8">
      <c r="E92" s="143"/>
      <c r="F92" s="116"/>
    </row>
    <row r="93" spans="2:8">
      <c r="E93" s="143"/>
      <c r="F93" s="116"/>
    </row>
    <row r="94" spans="2:8">
      <c r="E94" s="144"/>
      <c r="F94" s="116"/>
    </row>
    <row r="97" spans="5:6">
      <c r="E97" s="116"/>
    </row>
    <row r="98" spans="5:6">
      <c r="E98" s="117"/>
      <c r="F98" s="116"/>
    </row>
    <row r="99" spans="5:6">
      <c r="E99" s="117"/>
      <c r="F99" s="116"/>
    </row>
    <row r="100" spans="5:6">
      <c r="E100" s="122"/>
      <c r="F100" s="116"/>
    </row>
  </sheetData>
  <printOptions gridLines="1"/>
  <pageMargins left="0.31496062992125984" right="0.31496062992125984" top="0.39370078740157483" bottom="0.55118110236220474" header="0.31496062992125984" footer="0.31496062992125984"/>
  <pageSetup paperSize="9" scale="84" orientation="portrait" horizontalDpi="4294967293" verticalDpi="0" r:id="rId1"/>
  <headerFooter>
    <oddFooter>&amp;L&amp;F, &amp;A&amp;R&amp;D</oddFooter>
  </headerFooter>
  <rowBreaks count="1" manualBreakCount="1">
    <brk id="71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81"/>
  <sheetViews>
    <sheetView topLeftCell="B1" zoomScaleNormal="100" workbookViewId="0">
      <selection activeCell="E6" sqref="E6"/>
    </sheetView>
  </sheetViews>
  <sheetFormatPr defaultRowHeight="12.75"/>
  <cols>
    <col min="1" max="1" width="9.28515625" hidden="1" customWidth="1"/>
    <col min="2" max="2" width="23.42578125" bestFit="1" customWidth="1"/>
    <col min="3" max="3" width="9.85546875" customWidth="1"/>
    <col min="4" max="4" width="13.7109375" style="1" bestFit="1" customWidth="1"/>
    <col min="5" max="6" width="10.140625" style="1" customWidth="1"/>
    <col min="7" max="16" width="10.140625" style="2" customWidth="1"/>
    <col min="17" max="17" width="8.5703125" style="2" hidden="1" customWidth="1"/>
    <col min="18" max="18" width="9.5703125" style="2" hidden="1" customWidth="1"/>
    <col min="19" max="21" width="9.5703125" hidden="1" customWidth="1"/>
    <col min="22" max="23" width="9.140625" hidden="1" customWidth="1"/>
    <col min="24" max="24" width="10.140625" customWidth="1"/>
  </cols>
  <sheetData>
    <row r="1" spans="1:24" ht="13.5" thickBot="1">
      <c r="E1" s="2"/>
      <c r="F1" s="2"/>
      <c r="R1"/>
    </row>
    <row r="2" spans="1:24" s="8" customFormat="1">
      <c r="B2" s="24"/>
      <c r="C2" s="24"/>
      <c r="D2" s="188" t="s">
        <v>46</v>
      </c>
      <c r="E2" s="67">
        <v>43101</v>
      </c>
      <c r="F2" s="67">
        <v>43132</v>
      </c>
      <c r="G2" s="67">
        <v>43160</v>
      </c>
      <c r="H2" s="67">
        <v>43191</v>
      </c>
      <c r="I2" s="67">
        <v>43221</v>
      </c>
      <c r="J2" s="67">
        <v>43252</v>
      </c>
      <c r="K2" s="67">
        <v>43282</v>
      </c>
      <c r="L2" s="67">
        <v>43313</v>
      </c>
      <c r="M2" s="67">
        <v>43344</v>
      </c>
      <c r="N2" s="67">
        <v>43374</v>
      </c>
      <c r="O2" s="67" t="s">
        <v>230</v>
      </c>
      <c r="P2" s="67">
        <v>43435</v>
      </c>
      <c r="R2" s="18" t="s">
        <v>35</v>
      </c>
      <c r="S2" s="18" t="s">
        <v>36</v>
      </c>
      <c r="T2" s="18" t="s">
        <v>37</v>
      </c>
      <c r="U2" s="18" t="s">
        <v>38</v>
      </c>
      <c r="V2" s="3"/>
      <c r="W2" s="8" t="s">
        <v>55</v>
      </c>
    </row>
    <row r="3" spans="1:24" s="15" customFormat="1">
      <c r="A3" s="3" t="s">
        <v>196</v>
      </c>
      <c r="B3" s="15" t="s">
        <v>16</v>
      </c>
      <c r="D3" s="189">
        <v>193</v>
      </c>
      <c r="E3" s="19">
        <v>0</v>
      </c>
      <c r="F3" s="19">
        <v>17</v>
      </c>
      <c r="G3" s="19">
        <v>20</v>
      </c>
      <c r="H3" s="19">
        <v>10</v>
      </c>
      <c r="I3" s="19">
        <v>21</v>
      </c>
      <c r="J3" s="19">
        <v>20</v>
      </c>
      <c r="K3" s="19">
        <v>12</v>
      </c>
      <c r="L3" s="19">
        <v>23</v>
      </c>
      <c r="M3" s="19">
        <v>20</v>
      </c>
      <c r="N3" s="19">
        <v>13</v>
      </c>
      <c r="O3" s="19">
        <v>22</v>
      </c>
      <c r="P3" s="19">
        <v>15</v>
      </c>
      <c r="Q3" s="16">
        <f>SUM(E3:P3)</f>
        <v>193</v>
      </c>
      <c r="R3" s="17">
        <v>49</v>
      </c>
      <c r="S3" s="17">
        <v>49</v>
      </c>
      <c r="T3" s="17">
        <f>9+L3+M3</f>
        <v>52</v>
      </c>
      <c r="U3" s="17">
        <f>SUM(N3:P3)</f>
        <v>50</v>
      </c>
      <c r="V3" s="17">
        <f>SUM(R3:U3)</f>
        <v>200</v>
      </c>
      <c r="W3" s="17">
        <f>SUM(R3:U3)</f>
        <v>200</v>
      </c>
    </row>
    <row r="4" spans="1:24" ht="13.5" customHeight="1">
      <c r="B4" s="3" t="s">
        <v>10</v>
      </c>
      <c r="D4" s="19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/>
    </row>
    <row r="5" spans="1:24">
      <c r="A5" t="e">
        <f>VLOOKUP(B5,#REF!,2,FALSE)</f>
        <v>#REF!</v>
      </c>
      <c r="B5" s="149" t="s">
        <v>192</v>
      </c>
      <c r="D5" s="191">
        <v>791300</v>
      </c>
      <c r="E5" s="113">
        <v>0</v>
      </c>
      <c r="F5" s="113">
        <v>69700</v>
      </c>
      <c r="G5" s="113">
        <v>82000</v>
      </c>
      <c r="H5" s="113">
        <v>41000</v>
      </c>
      <c r="I5" s="113">
        <v>86100</v>
      </c>
      <c r="J5" s="113">
        <v>82000</v>
      </c>
      <c r="K5" s="113">
        <v>49200</v>
      </c>
      <c r="L5" s="113">
        <v>94300</v>
      </c>
      <c r="M5" s="113">
        <v>82000</v>
      </c>
      <c r="N5" s="113">
        <v>53300</v>
      </c>
      <c r="O5" s="113">
        <v>90200</v>
      </c>
      <c r="P5" s="113">
        <v>61500</v>
      </c>
      <c r="R5" s="10">
        <f>SUM(E5:H5)</f>
        <v>192700</v>
      </c>
      <c r="S5">
        <f>I5+J5+5/11*K5</f>
        <v>190463.63636363635</v>
      </c>
      <c r="T5">
        <f>6/11*K5+L5+M5</f>
        <v>203136.36363636365</v>
      </c>
      <c r="U5" s="10">
        <f>SUM(N5:P5)</f>
        <v>205000</v>
      </c>
      <c r="V5" s="17">
        <f>SUM(R5:U5)</f>
        <v>791300</v>
      </c>
      <c r="W5" s="45">
        <f t="shared" ref="W5:W28" si="0">+V5-D5</f>
        <v>0</v>
      </c>
      <c r="X5" t="str">
        <f>IF(E5+F5+G5+H5+I5+J5+K5+L5+M5+N5+O5+P5=D5," ","error")</f>
        <v xml:space="preserve"> </v>
      </c>
    </row>
    <row r="6" spans="1:24">
      <c r="A6" t="e">
        <f>VLOOKUP(B6,#REF!,2,FALSE)</f>
        <v>#REF!</v>
      </c>
      <c r="B6" s="149" t="s">
        <v>172</v>
      </c>
      <c r="D6" s="191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R6" s="10">
        <f>SUM(E6:H6)</f>
        <v>0</v>
      </c>
      <c r="S6">
        <f>I6+J6+5/11*K6</f>
        <v>0</v>
      </c>
      <c r="T6" s="10">
        <f>6/11*K6+L6+M6</f>
        <v>0</v>
      </c>
      <c r="U6" s="10">
        <f>SUM(N6:P6)</f>
        <v>0</v>
      </c>
      <c r="V6" s="17">
        <f>SUM(R6:U6)</f>
        <v>0</v>
      </c>
      <c r="W6" s="45">
        <f t="shared" si="0"/>
        <v>0</v>
      </c>
      <c r="X6" t="str">
        <f t="shared" ref="X6:X45" si="1">IF(E6+F6+G6+H6+I6+J6+K6+L6+M6+N6+O6+P6=D6," ","error")</f>
        <v xml:space="preserve"> </v>
      </c>
    </row>
    <row r="7" spans="1:24" ht="13.5" thickBot="1">
      <c r="B7" s="20" t="s">
        <v>28</v>
      </c>
      <c r="C7" s="20"/>
      <c r="D7" s="192">
        <v>791300</v>
      </c>
      <c r="E7" s="128">
        <v>0</v>
      </c>
      <c r="F7" s="128">
        <v>69700</v>
      </c>
      <c r="G7" s="128">
        <v>82000</v>
      </c>
      <c r="H7" s="128">
        <v>41000</v>
      </c>
      <c r="I7" s="128">
        <v>86100</v>
      </c>
      <c r="J7" s="128">
        <v>82000</v>
      </c>
      <c r="K7" s="128">
        <v>49200</v>
      </c>
      <c r="L7" s="128">
        <v>94300</v>
      </c>
      <c r="M7" s="128">
        <v>82000</v>
      </c>
      <c r="N7" s="128">
        <v>53300</v>
      </c>
      <c r="O7" s="128">
        <v>90200</v>
      </c>
      <c r="P7" s="128">
        <v>61500</v>
      </c>
      <c r="Q7" s="14"/>
      <c r="R7" s="21">
        <f>SUM(E7:H7)</f>
        <v>192700</v>
      </c>
      <c r="S7" s="12">
        <f>I7+J7+5/11*K7</f>
        <v>190463.63636363635</v>
      </c>
      <c r="T7" s="21">
        <f>6/11*K7+L7+M7</f>
        <v>203136.36363636365</v>
      </c>
      <c r="U7" s="21">
        <f>SUM(N7:P7)</f>
        <v>205000</v>
      </c>
      <c r="V7" s="17">
        <f>SUM(R7:U7)</f>
        <v>791300</v>
      </c>
      <c r="W7" s="45">
        <f t="shared" si="0"/>
        <v>0</v>
      </c>
      <c r="X7" t="str">
        <f t="shared" si="1"/>
        <v xml:space="preserve"> </v>
      </c>
    </row>
    <row r="8" spans="1:24">
      <c r="D8" s="191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R8"/>
      <c r="W8" s="45">
        <f t="shared" si="0"/>
        <v>0</v>
      </c>
      <c r="X8" t="str">
        <f t="shared" si="1"/>
        <v xml:space="preserve"> </v>
      </c>
    </row>
    <row r="9" spans="1:24">
      <c r="B9" s="24" t="s">
        <v>133</v>
      </c>
      <c r="D9" s="19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R9" s="10"/>
      <c r="S9" s="10"/>
      <c r="T9" s="10"/>
      <c r="U9" s="10"/>
      <c r="V9" s="17"/>
      <c r="W9" s="45"/>
      <c r="X9" t="str">
        <f t="shared" ref="X9:X25" si="2">IF(E9+F9+G9+H9+I9+J9+K9+L9+M9+N9+O9+P9=D9," ","error")</f>
        <v xml:space="preserve"> </v>
      </c>
    </row>
    <row r="10" spans="1:24">
      <c r="A10" t="e">
        <f>VLOOKUP(B10,#REF!,2,FALSE)</f>
        <v>#REF!</v>
      </c>
      <c r="B10" s="149" t="s">
        <v>173</v>
      </c>
      <c r="D10" s="193">
        <v>5200</v>
      </c>
      <c r="E10" s="113">
        <v>433.33333333333331</v>
      </c>
      <c r="F10" s="113">
        <v>433.33333333333331</v>
      </c>
      <c r="G10" s="113">
        <v>433.33333333333331</v>
      </c>
      <c r="H10" s="113">
        <v>433.33333333333331</v>
      </c>
      <c r="I10" s="113">
        <v>433.33333333333331</v>
      </c>
      <c r="J10" s="113">
        <v>433.33333333333331</v>
      </c>
      <c r="K10" s="113">
        <v>433.33333333333331</v>
      </c>
      <c r="L10" s="113">
        <v>433.33333333333331</v>
      </c>
      <c r="M10" s="113">
        <v>433.33333333333331</v>
      </c>
      <c r="N10" s="113">
        <v>433.33333333333331</v>
      </c>
      <c r="O10" s="113">
        <v>433.33333333333331</v>
      </c>
      <c r="P10" s="113">
        <v>433.33333333333331</v>
      </c>
      <c r="R10" s="10">
        <f>SUM(E10:H10)</f>
        <v>1733.3333333333333</v>
      </c>
      <c r="S10" s="10">
        <f>I10+J10+5/11*K10</f>
        <v>1063.6363636363635</v>
      </c>
      <c r="T10" s="10">
        <f>6/11*K10+L10+M10</f>
        <v>1103.030303030303</v>
      </c>
      <c r="U10" s="10">
        <f>SUM(N10:P10)</f>
        <v>1300</v>
      </c>
      <c r="V10" s="17">
        <f>SUM(R10:U10)</f>
        <v>5200</v>
      </c>
      <c r="W10" s="45">
        <f>+V10-D10</f>
        <v>0</v>
      </c>
      <c r="X10" t="str">
        <f t="shared" si="2"/>
        <v xml:space="preserve"> </v>
      </c>
    </row>
    <row r="11" spans="1:24">
      <c r="A11" t="e">
        <f>VLOOKUP(B11,#REF!,2,FALSE)</f>
        <v>#REF!</v>
      </c>
      <c r="B11" s="149" t="s">
        <v>184</v>
      </c>
      <c r="D11" s="191">
        <v>10800</v>
      </c>
      <c r="E11" s="113">
        <v>900</v>
      </c>
      <c r="F11" s="113">
        <v>900</v>
      </c>
      <c r="G11" s="113">
        <v>900</v>
      </c>
      <c r="H11" s="113">
        <v>900</v>
      </c>
      <c r="I11" s="113">
        <v>900</v>
      </c>
      <c r="J11" s="113">
        <v>900</v>
      </c>
      <c r="K11" s="113">
        <v>900</v>
      </c>
      <c r="L11" s="113">
        <v>900</v>
      </c>
      <c r="M11" s="113">
        <v>900</v>
      </c>
      <c r="N11" s="113">
        <v>900</v>
      </c>
      <c r="O11" s="113">
        <v>900</v>
      </c>
      <c r="P11" s="113">
        <v>900</v>
      </c>
      <c r="R11" s="10">
        <f>SUM(E11:H11)</f>
        <v>3600</v>
      </c>
      <c r="S11" s="10">
        <f>I11+J11+5/11*K11</f>
        <v>2209.090909090909</v>
      </c>
      <c r="T11" s="10">
        <f>6/11*K11+L11+M11</f>
        <v>2290.909090909091</v>
      </c>
      <c r="U11" s="10">
        <f>SUM(N11:P11)</f>
        <v>2700</v>
      </c>
      <c r="V11" s="17">
        <f>SUM(R11:U11)</f>
        <v>10800</v>
      </c>
      <c r="W11" s="45">
        <f>+V11-D11</f>
        <v>0</v>
      </c>
      <c r="X11" t="str">
        <f t="shared" si="2"/>
        <v xml:space="preserve"> </v>
      </c>
    </row>
    <row r="12" spans="1:24">
      <c r="A12" t="e">
        <f>VLOOKUP(B12,#REF!,2,FALSE)</f>
        <v>#REF!</v>
      </c>
      <c r="B12" s="149" t="s">
        <v>185</v>
      </c>
      <c r="D12" s="191">
        <v>1800</v>
      </c>
      <c r="E12" s="113">
        <v>150</v>
      </c>
      <c r="F12" s="113">
        <v>150</v>
      </c>
      <c r="G12" s="113">
        <v>150</v>
      </c>
      <c r="H12" s="113">
        <v>150</v>
      </c>
      <c r="I12" s="113">
        <v>150</v>
      </c>
      <c r="J12" s="113">
        <v>150</v>
      </c>
      <c r="K12" s="113">
        <v>150</v>
      </c>
      <c r="L12" s="113">
        <v>150</v>
      </c>
      <c r="M12" s="113">
        <v>150</v>
      </c>
      <c r="N12" s="113">
        <v>150</v>
      </c>
      <c r="O12" s="113">
        <v>150</v>
      </c>
      <c r="P12" s="113">
        <v>150</v>
      </c>
      <c r="R12" s="10">
        <f>SUM(E12:H12)</f>
        <v>600</v>
      </c>
      <c r="S12" s="10">
        <f>I12+J12+5/11*K12</f>
        <v>368.18181818181819</v>
      </c>
      <c r="T12" s="10">
        <f>6/11*K12+L12+M12</f>
        <v>381.81818181818181</v>
      </c>
      <c r="U12" s="10">
        <f>SUM(N12:P12)</f>
        <v>450</v>
      </c>
      <c r="V12" s="17">
        <f>SUM(R12:U12)</f>
        <v>1800</v>
      </c>
      <c r="W12" s="45">
        <f>+V12-D12</f>
        <v>0</v>
      </c>
      <c r="X12" t="str">
        <f t="shared" si="2"/>
        <v xml:space="preserve"> </v>
      </c>
    </row>
    <row r="13" spans="1:24">
      <c r="A13" t="e">
        <f>VLOOKUP(B13,#REF!,2,FALSE)</f>
        <v>#REF!</v>
      </c>
      <c r="B13" s="149" t="s">
        <v>187</v>
      </c>
      <c r="D13" s="191">
        <v>1800</v>
      </c>
      <c r="E13" s="113">
        <v>150</v>
      </c>
      <c r="F13" s="113">
        <v>150</v>
      </c>
      <c r="G13" s="113">
        <v>150</v>
      </c>
      <c r="H13" s="113">
        <v>150</v>
      </c>
      <c r="I13" s="113">
        <v>150</v>
      </c>
      <c r="J13" s="113">
        <v>150</v>
      </c>
      <c r="K13" s="113">
        <v>150</v>
      </c>
      <c r="L13" s="113">
        <v>150</v>
      </c>
      <c r="M13" s="113">
        <v>150</v>
      </c>
      <c r="N13" s="113">
        <v>150</v>
      </c>
      <c r="O13" s="113">
        <v>150</v>
      </c>
      <c r="P13" s="113">
        <v>150</v>
      </c>
      <c r="R13" s="10">
        <f>SUM(E13:H13)</f>
        <v>600</v>
      </c>
      <c r="S13" s="10">
        <f>I13+J13+5/11*K13</f>
        <v>368.18181818181819</v>
      </c>
      <c r="T13" s="10">
        <f>6/11*K13+L13+M13</f>
        <v>381.81818181818181</v>
      </c>
      <c r="U13" s="10">
        <f>SUM(N13:P13)</f>
        <v>450</v>
      </c>
      <c r="V13" s="17"/>
      <c r="W13" s="45">
        <f>+V13-D13</f>
        <v>-1800</v>
      </c>
      <c r="X13" t="str">
        <f t="shared" si="2"/>
        <v xml:space="preserve"> </v>
      </c>
    </row>
    <row r="14" spans="1:24">
      <c r="A14" t="e">
        <f>VLOOKUP(B14,#REF!,2,FALSE)</f>
        <v>#REF!</v>
      </c>
      <c r="B14" s="149" t="s">
        <v>177</v>
      </c>
      <c r="D14" s="191">
        <v>2000</v>
      </c>
      <c r="E14" s="87">
        <v>166.66666666666666</v>
      </c>
      <c r="F14" s="87">
        <v>166.66666666666666</v>
      </c>
      <c r="G14" s="87">
        <v>166.66666666666666</v>
      </c>
      <c r="H14" s="87">
        <v>166.66666666666666</v>
      </c>
      <c r="I14" s="87">
        <v>166.66666666666666</v>
      </c>
      <c r="J14" s="87">
        <v>166.66666666666666</v>
      </c>
      <c r="K14" s="87">
        <v>166.66666666666666</v>
      </c>
      <c r="L14" s="87">
        <v>166.66666666666666</v>
      </c>
      <c r="M14" s="87">
        <v>166.66666666666666</v>
      </c>
      <c r="N14" s="87">
        <v>166.66666666666666</v>
      </c>
      <c r="O14" s="87">
        <v>166.66666666666666</v>
      </c>
      <c r="P14" s="87">
        <v>166.66666666666666</v>
      </c>
      <c r="Q14" s="87">
        <f t="shared" ref="Q14:W14" si="3">+P14/12</f>
        <v>13.888888888888888</v>
      </c>
      <c r="R14" s="87">
        <f t="shared" si="3"/>
        <v>1.1574074074074072</v>
      </c>
      <c r="S14" s="87">
        <f t="shared" si="3"/>
        <v>9.6450617283950602E-2</v>
      </c>
      <c r="T14" s="87">
        <f t="shared" si="3"/>
        <v>8.0375514403292162E-3</v>
      </c>
      <c r="U14" s="87">
        <f t="shared" si="3"/>
        <v>6.6979595336076798E-4</v>
      </c>
      <c r="V14" s="87">
        <f t="shared" si="3"/>
        <v>5.5816329446730667E-5</v>
      </c>
      <c r="W14" s="87">
        <f t="shared" si="3"/>
        <v>4.6513607872275556E-6</v>
      </c>
      <c r="X14" t="str">
        <f t="shared" si="2"/>
        <v xml:space="preserve"> </v>
      </c>
    </row>
    <row r="15" spans="1:24" s="39" customFormat="1">
      <c r="A15" t="e">
        <f>VLOOKUP(B15,#REF!,2,FALSE)</f>
        <v>#REF!</v>
      </c>
      <c r="B15" s="149" t="s">
        <v>181</v>
      </c>
      <c r="D15" s="193">
        <v>7000</v>
      </c>
      <c r="E15" s="102">
        <v>583.33333333333337</v>
      </c>
      <c r="F15" s="102">
        <v>583.33333333333337</v>
      </c>
      <c r="G15" s="102">
        <v>583.33333333333337</v>
      </c>
      <c r="H15" s="102">
        <v>583.33333333333337</v>
      </c>
      <c r="I15" s="102">
        <v>583.33333333333337</v>
      </c>
      <c r="J15" s="102">
        <v>583.33333333333337</v>
      </c>
      <c r="K15" s="102">
        <v>583.33333333333337</v>
      </c>
      <c r="L15" s="102">
        <v>583.33333333333337</v>
      </c>
      <c r="M15" s="102">
        <v>583.33333333333337</v>
      </c>
      <c r="N15" s="102">
        <v>583.33333333333337</v>
      </c>
      <c r="O15" s="102">
        <v>583.33333333333337</v>
      </c>
      <c r="P15" s="102">
        <v>583.33333333333337</v>
      </c>
      <c r="Q15" s="72"/>
      <c r="R15" s="72"/>
      <c r="X15" s="116" t="s">
        <v>200</v>
      </c>
    </row>
    <row r="16" spans="1:24" s="39" customFormat="1">
      <c r="A16"/>
      <c r="B16" s="149" t="s">
        <v>224</v>
      </c>
      <c r="D16" s="191">
        <v>4000</v>
      </c>
      <c r="E16" s="102">
        <v>3000</v>
      </c>
      <c r="F16" s="102">
        <v>1000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72"/>
      <c r="R16" s="72"/>
      <c r="X16" s="116"/>
    </row>
    <row r="17" spans="1:24" s="39" customFormat="1">
      <c r="A17"/>
      <c r="B17" s="123"/>
      <c r="D17" s="19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7"/>
      <c r="R17" s="61"/>
      <c r="V17" s="125">
        <f>SUM(R17:U17)</f>
        <v>0</v>
      </c>
      <c r="W17" s="126">
        <f>+V17-D17</f>
        <v>0</v>
      </c>
      <c r="X17" t="str">
        <f t="shared" si="2"/>
        <v xml:space="preserve"> </v>
      </c>
    </row>
    <row r="18" spans="1:24" s="3" customFormat="1">
      <c r="A18"/>
      <c r="B18" s="3" t="s">
        <v>148</v>
      </c>
      <c r="D18" s="195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68"/>
      <c r="R18" s="69"/>
      <c r="S18" s="69"/>
      <c r="T18" s="69"/>
      <c r="U18" s="69"/>
      <c r="V18" s="17">
        <f t="shared" ref="V18:V23" si="4">SUM(R18:U18)</f>
        <v>0</v>
      </c>
      <c r="W18" s="45">
        <f t="shared" ref="W18:W23" si="5">+V18-D18</f>
        <v>0</v>
      </c>
      <c r="X18" t="str">
        <f t="shared" si="2"/>
        <v xml:space="preserve"> </v>
      </c>
    </row>
    <row r="19" spans="1:24">
      <c r="A19" t="e">
        <f>VLOOKUP(B19,#REF!,2,FALSE)</f>
        <v>#REF!</v>
      </c>
      <c r="B19" s="149" t="s">
        <v>179</v>
      </c>
      <c r="D19" s="191">
        <v>30301</v>
      </c>
      <c r="E19" s="113">
        <v>0</v>
      </c>
      <c r="F19" s="113">
        <v>2669</v>
      </c>
      <c r="G19" s="113">
        <v>3140</v>
      </c>
      <c r="H19" s="113">
        <v>1570</v>
      </c>
      <c r="I19" s="113">
        <v>3297</v>
      </c>
      <c r="J19" s="113">
        <v>3140</v>
      </c>
      <c r="K19" s="113">
        <v>1884</v>
      </c>
      <c r="L19" s="113">
        <v>3611</v>
      </c>
      <c r="M19" s="113">
        <v>3140</v>
      </c>
      <c r="N19" s="113">
        <v>2041</v>
      </c>
      <c r="O19" s="113">
        <v>3454</v>
      </c>
      <c r="P19" s="113">
        <v>2355</v>
      </c>
      <c r="R19" s="10">
        <f>SUM(E19:H19)</f>
        <v>7379</v>
      </c>
      <c r="S19" s="10">
        <f>I19+J19+5/11*K19</f>
        <v>7293.363636363636</v>
      </c>
      <c r="T19" s="10">
        <f>6/11*K19+L19+M19</f>
        <v>7778.636363636364</v>
      </c>
      <c r="U19" s="10">
        <f>SUM(N19:P19)</f>
        <v>7850</v>
      </c>
      <c r="V19" s="17">
        <f t="shared" si="4"/>
        <v>30301</v>
      </c>
      <c r="W19" s="45">
        <f t="shared" si="5"/>
        <v>0</v>
      </c>
      <c r="X19" t="str">
        <f t="shared" si="2"/>
        <v xml:space="preserve"> </v>
      </c>
    </row>
    <row r="20" spans="1:24">
      <c r="A20" t="e">
        <f>VLOOKUP(B20,#REF!,2,FALSE)</f>
        <v>#REF!</v>
      </c>
      <c r="B20" s="149" t="s">
        <v>174</v>
      </c>
      <c r="D20" s="191">
        <v>11580</v>
      </c>
      <c r="E20" s="113">
        <v>0</v>
      </c>
      <c r="F20" s="113">
        <v>1020</v>
      </c>
      <c r="G20" s="113">
        <v>1200</v>
      </c>
      <c r="H20" s="113">
        <v>600</v>
      </c>
      <c r="I20" s="113">
        <v>1260</v>
      </c>
      <c r="J20" s="113">
        <v>1200</v>
      </c>
      <c r="K20" s="113">
        <v>720</v>
      </c>
      <c r="L20" s="113">
        <v>1380</v>
      </c>
      <c r="M20" s="113">
        <v>1200</v>
      </c>
      <c r="N20" s="113">
        <v>780</v>
      </c>
      <c r="O20" s="113">
        <v>1320</v>
      </c>
      <c r="P20" s="113">
        <v>900</v>
      </c>
      <c r="R20" s="10">
        <f>SUM(E20:H20)</f>
        <v>2820</v>
      </c>
      <c r="S20" s="10">
        <f>I20+J20+5/11*K20</f>
        <v>2787.272727272727</v>
      </c>
      <c r="T20" s="10">
        <f>6/11*K20+L20+M20</f>
        <v>2972.727272727273</v>
      </c>
      <c r="U20" s="10">
        <f>SUM(N20:P20)</f>
        <v>3000</v>
      </c>
      <c r="V20" s="17">
        <f t="shared" si="4"/>
        <v>11580</v>
      </c>
      <c r="W20" s="45">
        <f t="shared" si="5"/>
        <v>0</v>
      </c>
      <c r="X20" t="str">
        <f t="shared" si="2"/>
        <v xml:space="preserve"> </v>
      </c>
    </row>
    <row r="21" spans="1:24" s="39" customFormat="1">
      <c r="A21" t="e">
        <f>VLOOKUP(B21,#REF!,2,FALSE)</f>
        <v>#REF!</v>
      </c>
      <c r="B21" s="149" t="s">
        <v>175</v>
      </c>
      <c r="D21" s="191">
        <v>2702</v>
      </c>
      <c r="E21" s="96">
        <v>0</v>
      </c>
      <c r="F21" s="96">
        <v>238</v>
      </c>
      <c r="G21" s="96">
        <v>280</v>
      </c>
      <c r="H21" s="96">
        <v>140</v>
      </c>
      <c r="I21" s="96">
        <v>294</v>
      </c>
      <c r="J21" s="96">
        <v>280</v>
      </c>
      <c r="K21" s="96">
        <v>168</v>
      </c>
      <c r="L21" s="96">
        <v>322</v>
      </c>
      <c r="M21" s="96">
        <v>280</v>
      </c>
      <c r="N21" s="96">
        <v>182</v>
      </c>
      <c r="O21" s="96">
        <v>308</v>
      </c>
      <c r="P21" s="96">
        <v>210</v>
      </c>
      <c r="Q21" s="72"/>
      <c r="R21" s="61">
        <f>SUM(E21:H21)</f>
        <v>658</v>
      </c>
      <c r="S21" s="61">
        <f>I21+J21+5/11*K21</f>
        <v>650.36363636363637</v>
      </c>
      <c r="T21" s="61">
        <f>6/11*K21+L21+M21</f>
        <v>693.63636363636363</v>
      </c>
      <c r="U21" s="61">
        <f>SUM(N21:P21)</f>
        <v>700</v>
      </c>
      <c r="V21" s="17">
        <f t="shared" si="4"/>
        <v>2702</v>
      </c>
      <c r="W21" s="45">
        <f t="shared" si="5"/>
        <v>0</v>
      </c>
      <c r="X21" t="str">
        <f t="shared" si="2"/>
        <v xml:space="preserve"> </v>
      </c>
    </row>
    <row r="22" spans="1:24" s="39" customFormat="1">
      <c r="A22" t="e">
        <f>VLOOKUP(B22,#REF!,2,FALSE)</f>
        <v>#REF!</v>
      </c>
      <c r="B22" s="149" t="s">
        <v>178</v>
      </c>
      <c r="D22" s="193">
        <v>15000</v>
      </c>
      <c r="E22" s="96">
        <v>1250</v>
      </c>
      <c r="F22" s="96">
        <v>1250</v>
      </c>
      <c r="G22" s="96">
        <v>1250</v>
      </c>
      <c r="H22" s="96">
        <v>1250</v>
      </c>
      <c r="I22" s="96">
        <v>1250</v>
      </c>
      <c r="J22" s="96">
        <v>1250</v>
      </c>
      <c r="K22" s="96">
        <v>1250</v>
      </c>
      <c r="L22" s="96">
        <v>1250</v>
      </c>
      <c r="M22" s="96">
        <v>1250</v>
      </c>
      <c r="N22" s="96">
        <v>1250</v>
      </c>
      <c r="O22" s="96">
        <v>1250</v>
      </c>
      <c r="P22" s="96">
        <v>1250</v>
      </c>
      <c r="Q22" s="72"/>
      <c r="R22" s="61">
        <f>SUM(E22:H22)</f>
        <v>5000</v>
      </c>
      <c r="S22" s="61">
        <f>I22+J22+5/11*K22</f>
        <v>3068.181818181818</v>
      </c>
      <c r="T22" s="61">
        <f>6/11*K22+L22+M22</f>
        <v>3181.818181818182</v>
      </c>
      <c r="U22" s="61">
        <f>SUM(N22:P22)</f>
        <v>3750</v>
      </c>
      <c r="V22" s="125">
        <f t="shared" si="4"/>
        <v>15000</v>
      </c>
      <c r="W22" s="126">
        <f t="shared" si="5"/>
        <v>0</v>
      </c>
      <c r="X22" t="str">
        <f t="shared" si="2"/>
        <v xml:space="preserve"> </v>
      </c>
    </row>
    <row r="23" spans="1:24">
      <c r="A23" t="e">
        <f>VLOOKUP(B23,#REF!,2,FALSE)</f>
        <v>#REF!</v>
      </c>
      <c r="B23" s="149" t="s">
        <v>176</v>
      </c>
      <c r="D23" s="191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>
        <v>1500</v>
      </c>
      <c r="R23" s="10">
        <f>SUM(E23:H23)</f>
        <v>0</v>
      </c>
      <c r="S23" s="10">
        <f>I23+J23+5/11*K23</f>
        <v>0</v>
      </c>
      <c r="T23" s="10">
        <f>6/11*K23+L23+M23</f>
        <v>0</v>
      </c>
      <c r="U23" s="10">
        <f>SUM(N23:P23)</f>
        <v>1500</v>
      </c>
      <c r="V23" s="17">
        <f t="shared" si="4"/>
        <v>1500</v>
      </c>
      <c r="W23" s="45">
        <f t="shared" si="5"/>
        <v>0</v>
      </c>
      <c r="X23" t="str">
        <f t="shared" si="2"/>
        <v xml:space="preserve"> </v>
      </c>
    </row>
    <row r="24" spans="1:24">
      <c r="B24" s="149" t="s">
        <v>225</v>
      </c>
      <c r="D24" s="191">
        <v>10500</v>
      </c>
      <c r="E24" s="113">
        <v>1500</v>
      </c>
      <c r="F24" s="113">
        <v>2000</v>
      </c>
      <c r="G24" s="113">
        <v>5000</v>
      </c>
      <c r="H24" s="113">
        <v>2000</v>
      </c>
      <c r="I24" s="113"/>
      <c r="J24" s="113"/>
      <c r="K24" s="113"/>
      <c r="L24" s="113"/>
      <c r="M24" s="113"/>
      <c r="N24" s="113"/>
      <c r="O24" s="113"/>
      <c r="P24" s="113"/>
      <c r="R24" s="10"/>
      <c r="S24" s="10"/>
      <c r="T24" s="10"/>
      <c r="U24" s="10"/>
      <c r="V24" s="17"/>
      <c r="W24" s="45"/>
    </row>
    <row r="25" spans="1:24">
      <c r="D25" s="191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R25" s="10"/>
      <c r="S25" s="10"/>
      <c r="T25" s="10"/>
      <c r="U25" s="10"/>
      <c r="V25" s="17"/>
      <c r="W25" s="45"/>
      <c r="X25" t="str">
        <f t="shared" si="2"/>
        <v xml:space="preserve"> </v>
      </c>
    </row>
    <row r="26" spans="1:24">
      <c r="B26" s="3" t="s">
        <v>132</v>
      </c>
      <c r="D26" s="191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R26"/>
      <c r="W26" s="45">
        <f t="shared" si="0"/>
        <v>0</v>
      </c>
      <c r="X26" t="str">
        <f t="shared" si="1"/>
        <v xml:space="preserve"> </v>
      </c>
    </row>
    <row r="27" spans="1:24">
      <c r="A27" t="e">
        <f>VLOOKUP(B27,#REF!,2,FALSE)</f>
        <v>#REF!</v>
      </c>
      <c r="B27" s="149" t="s">
        <v>188</v>
      </c>
      <c r="D27" s="191">
        <v>241687.86874999999</v>
      </c>
      <c r="E27" s="113">
        <v>0</v>
      </c>
      <c r="F27" s="113">
        <v>21288.568749999999</v>
      </c>
      <c r="G27" s="113">
        <v>25045.375</v>
      </c>
      <c r="H27" s="113">
        <v>12522.6875</v>
      </c>
      <c r="I27" s="113">
        <v>26297.643749999999</v>
      </c>
      <c r="J27" s="113">
        <v>25045.375</v>
      </c>
      <c r="K27" s="113">
        <v>15027.224999999999</v>
      </c>
      <c r="L27" s="113">
        <v>28802.181249999998</v>
      </c>
      <c r="M27" s="113">
        <v>25045.375</v>
      </c>
      <c r="N27" s="113">
        <v>16279.49375</v>
      </c>
      <c r="O27" s="113">
        <v>27549.912499999999</v>
      </c>
      <c r="P27" s="113">
        <v>18784.03125</v>
      </c>
      <c r="R27" s="10">
        <f>SUM(E27:H27)</f>
        <v>58856.631249999999</v>
      </c>
      <c r="S27" s="10">
        <f>I27+J27+5/11*K27</f>
        <v>58173.575568181819</v>
      </c>
      <c r="T27" s="10">
        <f>6/11*K27+L27+M27</f>
        <v>62044.224431818177</v>
      </c>
      <c r="U27" s="10">
        <f>SUM(N27:P27)</f>
        <v>62613.4375</v>
      </c>
      <c r="V27" s="17">
        <f>SUM(R27:U27)</f>
        <v>241687.86874999999</v>
      </c>
      <c r="W27" s="45">
        <f t="shared" si="0"/>
        <v>0</v>
      </c>
      <c r="X27" t="str">
        <f t="shared" si="1"/>
        <v xml:space="preserve"> </v>
      </c>
    </row>
    <row r="28" spans="1:24">
      <c r="A28" t="e">
        <f>VLOOKUP(B28,#REF!,2,FALSE)</f>
        <v>#REF!</v>
      </c>
      <c r="B28" s="149" t="s">
        <v>186</v>
      </c>
      <c r="D28" s="191">
        <v>22960.347531249998</v>
      </c>
      <c r="E28" s="113">
        <v>0</v>
      </c>
      <c r="F28" s="113">
        <v>2022.4140312499999</v>
      </c>
      <c r="G28" s="113">
        <v>2379.3106250000001</v>
      </c>
      <c r="H28" s="113">
        <v>1189.6553125</v>
      </c>
      <c r="I28" s="113">
        <v>2498.27615625</v>
      </c>
      <c r="J28" s="113">
        <v>2379.3106250000001</v>
      </c>
      <c r="K28" s="113">
        <v>1427.5863749999999</v>
      </c>
      <c r="L28" s="113">
        <v>2736.2072187499998</v>
      </c>
      <c r="M28" s="113">
        <v>2379.3106250000001</v>
      </c>
      <c r="N28" s="113">
        <v>1546.55190625</v>
      </c>
      <c r="O28" s="113">
        <v>2617.2416874999999</v>
      </c>
      <c r="P28" s="113">
        <v>1784.4829687500001</v>
      </c>
      <c r="R28" s="10"/>
      <c r="S28" s="10"/>
      <c r="T28" s="10"/>
      <c r="U28" s="10"/>
      <c r="V28" s="17">
        <f>SUM(R28:U28)</f>
        <v>0</v>
      </c>
      <c r="W28" s="45">
        <f t="shared" si="0"/>
        <v>-22960.347531249998</v>
      </c>
      <c r="X28" t="str">
        <f t="shared" si="1"/>
        <v xml:space="preserve"> </v>
      </c>
    </row>
    <row r="29" spans="1:24">
      <c r="A29" t="e">
        <f>VLOOKUP(B29,#REF!,2,FALSE)</f>
        <v>#REF!</v>
      </c>
      <c r="B29" s="149" t="s">
        <v>180</v>
      </c>
      <c r="D29" s="191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R29" s="10"/>
      <c r="S29" s="10"/>
      <c r="T29" s="10"/>
      <c r="U29" s="10"/>
      <c r="V29" s="17"/>
      <c r="W29" s="45"/>
    </row>
    <row r="30" spans="1:24">
      <c r="A30" t="e">
        <f>VLOOKUP(B30,#REF!,2,FALSE)</f>
        <v>#REF!</v>
      </c>
      <c r="B30" s="149" t="s">
        <v>191</v>
      </c>
      <c r="D30" s="191">
        <v>13437.845502500002</v>
      </c>
      <c r="E30" s="113">
        <v>0</v>
      </c>
      <c r="F30" s="113">
        <v>1183.6444225000002</v>
      </c>
      <c r="G30" s="113">
        <v>1392.5228500000003</v>
      </c>
      <c r="H30" s="113">
        <v>696.26142500000014</v>
      </c>
      <c r="I30" s="113">
        <v>1462.1489925000003</v>
      </c>
      <c r="J30" s="113">
        <v>1392.5228500000003</v>
      </c>
      <c r="K30" s="113">
        <v>835.51371000000017</v>
      </c>
      <c r="L30" s="113">
        <v>1601.4012775000003</v>
      </c>
      <c r="M30" s="113">
        <v>1392.5228500000003</v>
      </c>
      <c r="N30" s="113">
        <v>905.13985250000019</v>
      </c>
      <c r="O30" s="113">
        <v>1531.7751350000003</v>
      </c>
      <c r="P30" s="113">
        <v>1044.3921375000002</v>
      </c>
      <c r="Q30" s="5">
        <f t="shared" ref="Q30:W30" si="6">+Q27*0.15</f>
        <v>0</v>
      </c>
      <c r="R30" s="5">
        <f t="shared" si="6"/>
        <v>8828.4946874999987</v>
      </c>
      <c r="S30" s="5">
        <f t="shared" si="6"/>
        <v>8726.0363352272725</v>
      </c>
      <c r="T30" s="5">
        <f t="shared" si="6"/>
        <v>9306.6336647727258</v>
      </c>
      <c r="U30" s="5">
        <f t="shared" si="6"/>
        <v>9392.015625</v>
      </c>
      <c r="V30" s="5">
        <f t="shared" si="6"/>
        <v>36253.180312500001</v>
      </c>
      <c r="W30" s="5">
        <f t="shared" si="6"/>
        <v>0</v>
      </c>
      <c r="X30" t="str">
        <f t="shared" si="1"/>
        <v xml:space="preserve"> </v>
      </c>
    </row>
    <row r="31" spans="1:24">
      <c r="A31" t="e">
        <f>VLOOKUP(B31,#REF!,2,FALSE)</f>
        <v>#REF!</v>
      </c>
      <c r="B31" s="149" t="s">
        <v>182</v>
      </c>
      <c r="D31" s="191">
        <v>1100</v>
      </c>
      <c r="E31" s="113"/>
      <c r="F31" s="113"/>
      <c r="G31" s="113"/>
      <c r="H31" s="113"/>
      <c r="I31" s="113"/>
      <c r="J31" s="113">
        <v>500</v>
      </c>
      <c r="K31" s="113"/>
      <c r="L31" s="113"/>
      <c r="M31" s="113"/>
      <c r="N31" s="113"/>
      <c r="O31" s="113"/>
      <c r="P31" s="113">
        <v>600</v>
      </c>
      <c r="R31" s="10">
        <f>SUM(E31:H31)</f>
        <v>0</v>
      </c>
      <c r="S31" s="10">
        <f>I31+J31+5/11*K31</f>
        <v>500</v>
      </c>
      <c r="T31" s="10">
        <f>6/11*K31+L31+M31</f>
        <v>0</v>
      </c>
      <c r="U31" s="10">
        <f>SUM(N31:P31)</f>
        <v>600</v>
      </c>
      <c r="V31" s="17">
        <f>SUM(R31:U31)</f>
        <v>1100</v>
      </c>
      <c r="W31" s="45">
        <f>+V31-D31</f>
        <v>0</v>
      </c>
      <c r="X31" t="str">
        <f t="shared" si="1"/>
        <v xml:space="preserve"> </v>
      </c>
    </row>
    <row r="32" spans="1:24">
      <c r="A32" t="e">
        <f>VLOOKUP(B32,#REF!,2,FALSE)</f>
        <v>#REF!</v>
      </c>
      <c r="B32" s="149" t="s">
        <v>183</v>
      </c>
      <c r="D32" s="191">
        <v>10000</v>
      </c>
      <c r="E32" s="113"/>
      <c r="F32" s="113"/>
      <c r="G32" s="113">
        <v>2500</v>
      </c>
      <c r="H32" s="113"/>
      <c r="I32" s="113"/>
      <c r="J32" s="113">
        <v>2500</v>
      </c>
      <c r="K32" s="113"/>
      <c r="L32" s="113"/>
      <c r="M32" s="113">
        <v>2500</v>
      </c>
      <c r="N32" s="113"/>
      <c r="O32" s="113">
        <v>2500</v>
      </c>
      <c r="P32" s="113"/>
      <c r="R32" s="10">
        <f>SUM(E32:H32)</f>
        <v>2500</v>
      </c>
      <c r="S32" s="10">
        <f>I32+J32+5/11*K32</f>
        <v>2500</v>
      </c>
      <c r="T32" s="10">
        <f>6/11*K32+L32+M32</f>
        <v>2500</v>
      </c>
      <c r="U32" s="10">
        <f>SUM(N32:P32)</f>
        <v>2500</v>
      </c>
      <c r="V32" s="17">
        <f>SUM(R32:U32)</f>
        <v>10000</v>
      </c>
      <c r="W32" s="45">
        <f>+V32-D32</f>
        <v>0</v>
      </c>
      <c r="X32" t="str">
        <f t="shared" si="1"/>
        <v xml:space="preserve"> </v>
      </c>
    </row>
    <row r="33" spans="1:24">
      <c r="A33" t="e">
        <f>VLOOKUP(B33,#REF!,2,FALSE)</f>
        <v>#REF!</v>
      </c>
      <c r="B33" s="149" t="s">
        <v>190</v>
      </c>
      <c r="D33" s="191">
        <v>44983.94999999999</v>
      </c>
      <c r="E33" s="113">
        <v>2723.6625000000004</v>
      </c>
      <c r="F33" s="113">
        <v>3953.6625000000004</v>
      </c>
      <c r="G33" s="113">
        <v>3953.6625000000004</v>
      </c>
      <c r="H33" s="113">
        <v>3953.6625000000004</v>
      </c>
      <c r="I33" s="113">
        <v>3953.6625000000004</v>
      </c>
      <c r="J33" s="113">
        <v>3953.6625000000004</v>
      </c>
      <c r="K33" s="113">
        <v>3953.6625000000004</v>
      </c>
      <c r="L33" s="113">
        <v>3953.6625000000004</v>
      </c>
      <c r="M33" s="113">
        <v>3953.6625000000004</v>
      </c>
      <c r="N33" s="113">
        <v>3953.6625000000004</v>
      </c>
      <c r="O33" s="113">
        <v>3953.6625000000004</v>
      </c>
      <c r="P33" s="113">
        <v>2723.6625000000004</v>
      </c>
      <c r="R33" s="10"/>
      <c r="S33" s="10"/>
      <c r="T33" s="10"/>
      <c r="U33" s="10"/>
      <c r="V33" s="17"/>
      <c r="W33" s="45"/>
      <c r="X33" t="str">
        <f t="shared" si="1"/>
        <v xml:space="preserve"> </v>
      </c>
    </row>
    <row r="34" spans="1:24" s="3" customFormat="1">
      <c r="A34"/>
      <c r="B34" s="3" t="s">
        <v>45</v>
      </c>
      <c r="D34" s="195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68"/>
      <c r="R34" s="69"/>
      <c r="S34" s="69"/>
      <c r="T34" s="69"/>
      <c r="U34" s="69"/>
      <c r="V34" s="17">
        <f>SUM(R34:U34)</f>
        <v>0</v>
      </c>
      <c r="W34" s="45">
        <f>+V34-D34</f>
        <v>0</v>
      </c>
      <c r="X34" t="str">
        <f t="shared" si="1"/>
        <v xml:space="preserve"> </v>
      </c>
    </row>
    <row r="35" spans="1:24">
      <c r="A35" t="e">
        <f>VLOOKUP(B35,#REF!,2,FALSE)</f>
        <v>#REF!</v>
      </c>
      <c r="B35" s="187" t="s">
        <v>189</v>
      </c>
      <c r="C35" s="9"/>
      <c r="D35" s="196">
        <v>218200.62400000004</v>
      </c>
      <c r="E35" s="97">
        <v>18183.385333333335</v>
      </c>
      <c r="F35" s="97">
        <v>18183.385333333335</v>
      </c>
      <c r="G35" s="97">
        <v>18183.385333333335</v>
      </c>
      <c r="H35" s="97">
        <v>18183.385333333335</v>
      </c>
      <c r="I35" s="97">
        <v>18183.385333333335</v>
      </c>
      <c r="J35" s="97">
        <v>18183.385333333335</v>
      </c>
      <c r="K35" s="97">
        <v>18183.385333333335</v>
      </c>
      <c r="L35" s="97">
        <v>18183.385333333335</v>
      </c>
      <c r="M35" s="97">
        <v>18183.385333333335</v>
      </c>
      <c r="N35" s="97">
        <v>18183.385333333335</v>
      </c>
      <c r="O35" s="97">
        <v>18183.385333333335</v>
      </c>
      <c r="P35" s="97">
        <v>18183.385333333335</v>
      </c>
      <c r="R35" s="61">
        <f>SUM(E35:H35)</f>
        <v>72733.541333333342</v>
      </c>
      <c r="S35" s="61">
        <f>I35+J35+5/11*K35</f>
        <v>44631.945818181819</v>
      </c>
      <c r="T35" s="61">
        <f>6/11*K35+L35+M35</f>
        <v>46284.980848484847</v>
      </c>
      <c r="U35" s="61">
        <f>SUM(N35:P35)</f>
        <v>54550.156000000003</v>
      </c>
      <c r="V35" s="17">
        <f>SUM(R35:U35)</f>
        <v>218200.62400000001</v>
      </c>
      <c r="W35" s="45">
        <f>+V35-D35</f>
        <v>0</v>
      </c>
      <c r="X35" t="str">
        <f t="shared" si="1"/>
        <v xml:space="preserve"> </v>
      </c>
    </row>
    <row r="36" spans="1:24">
      <c r="A36" t="e">
        <f>VLOOKUP(B36,#REF!,2,FALSE)</f>
        <v>#REF!</v>
      </c>
      <c r="B36" s="187" t="s">
        <v>186</v>
      </c>
      <c r="C36" s="9"/>
      <c r="D36" s="196">
        <v>20729.059280000001</v>
      </c>
      <c r="E36" s="97">
        <v>1727.4216066666668</v>
      </c>
      <c r="F36" s="97">
        <v>1727.4216066666668</v>
      </c>
      <c r="G36" s="97">
        <v>1727.4216066666668</v>
      </c>
      <c r="H36" s="97">
        <v>1727.4216066666668</v>
      </c>
      <c r="I36" s="97">
        <v>1727.4216066666668</v>
      </c>
      <c r="J36" s="97">
        <v>1727.4216066666668</v>
      </c>
      <c r="K36" s="97">
        <v>1727.4216066666668</v>
      </c>
      <c r="L36" s="97">
        <v>1727.4216066666668</v>
      </c>
      <c r="M36" s="97">
        <v>1727.4216066666668</v>
      </c>
      <c r="N36" s="97">
        <v>1727.4216066666668</v>
      </c>
      <c r="O36" s="97">
        <v>1727.4216066666668</v>
      </c>
      <c r="P36" s="97">
        <v>1727.4216066666668</v>
      </c>
      <c r="R36" s="61"/>
      <c r="S36" s="61"/>
      <c r="T36" s="61"/>
      <c r="U36" s="61"/>
      <c r="V36" s="17"/>
      <c r="W36" s="45"/>
      <c r="X36" t="str">
        <f t="shared" si="1"/>
        <v xml:space="preserve"> </v>
      </c>
    </row>
    <row r="37" spans="1:24">
      <c r="A37" t="e">
        <f>VLOOKUP(B37,#REF!,2,FALSE)</f>
        <v>#REF!</v>
      </c>
      <c r="B37" s="187" t="s">
        <v>180</v>
      </c>
      <c r="C37" s="9"/>
      <c r="D37" s="1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R37" s="61"/>
      <c r="S37" s="61"/>
      <c r="T37" s="61"/>
      <c r="U37" s="61"/>
      <c r="V37" s="17"/>
      <c r="W37" s="45"/>
    </row>
    <row r="38" spans="1:24">
      <c r="A38" t="e">
        <f>VLOOKUP(B38,#REF!,2,FALSE)</f>
        <v>#REF!</v>
      </c>
      <c r="B38" s="187" t="s">
        <v>191</v>
      </c>
      <c r="C38" s="9"/>
      <c r="D38" s="196">
        <v>12131.954694399999</v>
      </c>
      <c r="E38" s="97">
        <v>1010.9962245333332</v>
      </c>
      <c r="F38" s="97">
        <v>1010.9962245333332</v>
      </c>
      <c r="G38" s="97">
        <v>1010.9962245333332</v>
      </c>
      <c r="H38" s="97">
        <v>1010.9962245333332</v>
      </c>
      <c r="I38" s="97">
        <v>1010.9962245333332</v>
      </c>
      <c r="J38" s="97">
        <v>1010.9962245333332</v>
      </c>
      <c r="K38" s="97">
        <v>1010.9962245333332</v>
      </c>
      <c r="L38" s="97">
        <v>1010.9962245333332</v>
      </c>
      <c r="M38" s="97">
        <v>1010.9962245333332</v>
      </c>
      <c r="N38" s="97">
        <v>1010.9962245333332</v>
      </c>
      <c r="O38" s="97">
        <v>1010.9962245333332</v>
      </c>
      <c r="P38" s="97">
        <v>1010.9962245333332</v>
      </c>
      <c r="R38" s="61">
        <f>SUM(E38:H38)</f>
        <v>4043.984898133333</v>
      </c>
      <c r="S38" s="61">
        <f>I38+J38+5/11*K38</f>
        <v>2481.536187490909</v>
      </c>
      <c r="T38" s="61">
        <f>6/11*K38+L38+M38</f>
        <v>2573.4449351757571</v>
      </c>
      <c r="U38" s="61">
        <f>SUM(N38:P38)</f>
        <v>3032.9886735999999</v>
      </c>
      <c r="V38" s="17">
        <f>SUM(R38:U38)</f>
        <v>12131.954694399999</v>
      </c>
      <c r="W38" s="45">
        <f>+V38-D38</f>
        <v>0</v>
      </c>
      <c r="X38" t="str">
        <f t="shared" si="1"/>
        <v xml:space="preserve"> </v>
      </c>
    </row>
    <row r="39" spans="1:24" s="39" customFormat="1">
      <c r="A39" t="e">
        <f>VLOOKUP(B39,#REF!,2,FALSE)</f>
        <v>#REF!</v>
      </c>
      <c r="B39" s="131" t="s">
        <v>0</v>
      </c>
      <c r="C39" s="132"/>
      <c r="D39" s="197">
        <v>2475</v>
      </c>
      <c r="E39" s="133">
        <v>206.25</v>
      </c>
      <c r="F39" s="133">
        <v>206.25</v>
      </c>
      <c r="G39" s="133">
        <v>206.25</v>
      </c>
      <c r="H39" s="133">
        <v>206.25</v>
      </c>
      <c r="I39" s="133">
        <v>206.25</v>
      </c>
      <c r="J39" s="133">
        <v>206.25</v>
      </c>
      <c r="K39" s="133">
        <v>206.25</v>
      </c>
      <c r="L39" s="133">
        <v>206.25</v>
      </c>
      <c r="M39" s="133">
        <v>206.25</v>
      </c>
      <c r="N39" s="133">
        <v>206.25</v>
      </c>
      <c r="O39" s="133">
        <v>206.25</v>
      </c>
      <c r="P39" s="133">
        <v>206.25</v>
      </c>
      <c r="Q39" s="72"/>
      <c r="R39" s="61">
        <f>SUM(E39:H39)</f>
        <v>825</v>
      </c>
      <c r="S39" s="61">
        <f>I39+J39+5/11*K39</f>
        <v>506.25</v>
      </c>
      <c r="T39" s="61">
        <f>6/11*K39+L39+M39</f>
        <v>525</v>
      </c>
      <c r="U39" s="61">
        <f>SUM(N39:P39)</f>
        <v>618.75</v>
      </c>
      <c r="V39" s="125">
        <f>SUM(R39:U39)</f>
        <v>2475</v>
      </c>
      <c r="W39" s="126">
        <f>+V39-D39</f>
        <v>0</v>
      </c>
      <c r="X39" t="str">
        <f t="shared" si="1"/>
        <v xml:space="preserve"> </v>
      </c>
    </row>
    <row r="40" spans="1:24" s="39" customFormat="1">
      <c r="A40" t="e">
        <f>VLOOKUP(B40,#REF!,2,FALSE)</f>
        <v>#REF!</v>
      </c>
      <c r="B40" s="131" t="s">
        <v>134</v>
      </c>
      <c r="C40" s="132"/>
      <c r="D40" s="197">
        <v>22500</v>
      </c>
      <c r="E40" s="133">
        <v>1875</v>
      </c>
      <c r="F40" s="133">
        <v>1875</v>
      </c>
      <c r="G40" s="133">
        <v>1875</v>
      </c>
      <c r="H40" s="133">
        <v>1875</v>
      </c>
      <c r="I40" s="133">
        <v>1875</v>
      </c>
      <c r="J40" s="133">
        <v>1875</v>
      </c>
      <c r="K40" s="133">
        <v>1875</v>
      </c>
      <c r="L40" s="133">
        <v>1875</v>
      </c>
      <c r="M40" s="133">
        <v>1875</v>
      </c>
      <c r="N40" s="133">
        <v>1875</v>
      </c>
      <c r="O40" s="133">
        <v>1875</v>
      </c>
      <c r="P40" s="133">
        <v>1875</v>
      </c>
      <c r="Q40" s="72"/>
      <c r="R40" s="61"/>
      <c r="S40" s="61"/>
      <c r="T40" s="61"/>
      <c r="U40" s="61"/>
      <c r="V40" s="125"/>
      <c r="W40" s="126"/>
      <c r="X40" t="str">
        <f t="shared" si="1"/>
        <v xml:space="preserve"> </v>
      </c>
    </row>
    <row r="41" spans="1:24" s="39" customFormat="1">
      <c r="A41" t="e">
        <f>VLOOKUP(B41,#REF!,2,FALSE)</f>
        <v>#REF!</v>
      </c>
      <c r="B41" s="131" t="s">
        <v>33</v>
      </c>
      <c r="C41" s="132"/>
      <c r="D41" s="197">
        <v>1500</v>
      </c>
      <c r="E41" s="133"/>
      <c r="F41" s="133"/>
      <c r="G41" s="133"/>
      <c r="H41" s="133"/>
      <c r="I41" s="133"/>
      <c r="J41" s="133">
        <v>1500</v>
      </c>
      <c r="K41" s="133"/>
      <c r="L41" s="133"/>
      <c r="M41" s="133"/>
      <c r="N41" s="133"/>
      <c r="O41" s="133"/>
      <c r="P41" s="133"/>
      <c r="Q41" s="72"/>
      <c r="R41" s="61"/>
      <c r="S41" s="61"/>
      <c r="T41" s="61"/>
      <c r="U41" s="61"/>
      <c r="V41" s="125"/>
      <c r="W41" s="126"/>
      <c r="X41"/>
    </row>
    <row r="42" spans="1:24">
      <c r="A42" t="e">
        <f>VLOOKUP(B42,#REF!,2,FALSE)</f>
        <v>#REF!</v>
      </c>
      <c r="B42" s="121" t="s">
        <v>234</v>
      </c>
      <c r="C42" s="9"/>
      <c r="D42" s="196">
        <v>26520</v>
      </c>
      <c r="E42" s="97">
        <v>6630</v>
      </c>
      <c r="F42" s="97"/>
      <c r="G42" s="97"/>
      <c r="H42" s="97">
        <v>6630</v>
      </c>
      <c r="I42" s="97"/>
      <c r="J42" s="97"/>
      <c r="K42" s="97">
        <v>6630</v>
      </c>
      <c r="L42" s="97"/>
      <c r="M42" s="97"/>
      <c r="N42" s="97">
        <v>6630</v>
      </c>
      <c r="O42" s="97"/>
      <c r="P42" s="97"/>
      <c r="R42" s="10" t="e">
        <f>+R3*#REF!</f>
        <v>#REF!</v>
      </c>
      <c r="S42" s="10" t="e">
        <f>+S3*#REF!</f>
        <v>#REF!</v>
      </c>
      <c r="T42" s="10" t="e">
        <f>+T3*#REF!</f>
        <v>#REF!</v>
      </c>
      <c r="U42" s="10" t="e">
        <f>+U3*#REF!+(7*#REF!)</f>
        <v>#REF!</v>
      </c>
      <c r="V42" s="17" t="e">
        <f>SUM(R42:U42)</f>
        <v>#REF!</v>
      </c>
      <c r="W42" s="45" t="e">
        <f>+V42-D42</f>
        <v>#REF!</v>
      </c>
      <c r="X42" t="str">
        <f t="shared" si="1"/>
        <v xml:space="preserve"> </v>
      </c>
    </row>
    <row r="43" spans="1:24">
      <c r="A43" t="e">
        <f>VLOOKUP(B43,#REF!,2,FALSE)</f>
        <v>#REF!</v>
      </c>
      <c r="B43" s="121" t="s">
        <v>232</v>
      </c>
      <c r="C43" s="9"/>
      <c r="D43" s="196">
        <v>3580.4344531447337</v>
      </c>
      <c r="E43" s="97">
        <v>895.10861328618341</v>
      </c>
      <c r="F43" s="97"/>
      <c r="G43" s="97"/>
      <c r="H43" s="97">
        <v>895.10861328618341</v>
      </c>
      <c r="I43" s="97"/>
      <c r="J43" s="97"/>
      <c r="K43" s="97">
        <v>895.10861328618341</v>
      </c>
      <c r="L43" s="97"/>
      <c r="M43" s="97"/>
      <c r="N43" s="97">
        <v>895.10861328618341</v>
      </c>
      <c r="O43" s="97"/>
      <c r="P43" s="97"/>
      <c r="R43" s="10"/>
      <c r="S43" s="10"/>
      <c r="T43" s="10"/>
      <c r="U43" s="10"/>
      <c r="V43" s="17"/>
      <c r="W43" s="45"/>
      <c r="X43" t="str">
        <f t="shared" si="1"/>
        <v xml:space="preserve"> </v>
      </c>
    </row>
    <row r="44" spans="1:24" ht="13.5" thickBot="1">
      <c r="B44" s="12" t="s">
        <v>30</v>
      </c>
      <c r="C44" s="12"/>
      <c r="D44" s="198">
        <v>745990.08421129489</v>
      </c>
      <c r="E44" s="22">
        <v>41385.157611152856</v>
      </c>
      <c r="F44" s="22">
        <v>62011.676201616676</v>
      </c>
      <c r="G44" s="22">
        <v>71527.257472866666</v>
      </c>
      <c r="H44" s="22">
        <v>56833.761848652852</v>
      </c>
      <c r="I44" s="22">
        <v>65699.117896616663</v>
      </c>
      <c r="J44" s="22">
        <v>68527.257472866666</v>
      </c>
      <c r="K44" s="22">
        <v>58177.482696152845</v>
      </c>
      <c r="L44" s="22">
        <v>69042.838744116671</v>
      </c>
      <c r="M44" s="22">
        <v>66527.257472866666</v>
      </c>
      <c r="N44" s="22">
        <v>59849.343119902856</v>
      </c>
      <c r="O44" s="22">
        <v>69870.978320366674</v>
      </c>
      <c r="P44" s="22">
        <v>56537.955354116668</v>
      </c>
      <c r="Q44" s="23"/>
      <c r="R44" s="22" t="e">
        <f>SUM(R27:R42)</f>
        <v>#REF!</v>
      </c>
      <c r="S44" s="22" t="e">
        <f>SUM(S27:S42)</f>
        <v>#REF!</v>
      </c>
      <c r="T44" s="22" t="e">
        <f>SUM(T27:T42)</f>
        <v>#REF!</v>
      </c>
      <c r="U44" s="22" t="e">
        <f>SUM(U27:U42)</f>
        <v>#REF!</v>
      </c>
      <c r="V44" s="161" t="e">
        <f>SUM(R44:U44)</f>
        <v>#REF!</v>
      </c>
      <c r="W44" s="162" t="e">
        <f>+V44-D44</f>
        <v>#REF!</v>
      </c>
      <c r="X44" s="116" t="str">
        <f t="shared" si="1"/>
        <v xml:space="preserve"> </v>
      </c>
    </row>
    <row r="45" spans="1:24">
      <c r="D45" s="19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V45" s="17">
        <f>SUM(R45:U45)</f>
        <v>0</v>
      </c>
      <c r="W45" s="45">
        <f>+V45-D45</f>
        <v>0</v>
      </c>
      <c r="X45" t="str">
        <f t="shared" si="1"/>
        <v xml:space="preserve"> </v>
      </c>
    </row>
    <row r="46" spans="1:24" ht="13.5" thickBot="1">
      <c r="B46" s="12" t="s">
        <v>39</v>
      </c>
      <c r="C46" s="12"/>
      <c r="D46" s="210">
        <v>45310</v>
      </c>
      <c r="E46" s="13">
        <v>-41385.157611152856</v>
      </c>
      <c r="F46" s="13">
        <v>7688.3237983833242</v>
      </c>
      <c r="G46" s="13">
        <v>10472.742527133334</v>
      </c>
      <c r="H46" s="13">
        <v>-15833.761848652852</v>
      </c>
      <c r="I46" s="13">
        <v>20400.882103383337</v>
      </c>
      <c r="J46" s="13">
        <v>13472.742527133334</v>
      </c>
      <c r="K46" s="13">
        <v>-8977.4826961528452</v>
      </c>
      <c r="L46" s="13">
        <v>25257.161255883329</v>
      </c>
      <c r="M46" s="13">
        <v>15472.742527133334</v>
      </c>
      <c r="N46" s="13">
        <v>-6549.3431199028564</v>
      </c>
      <c r="O46" s="13">
        <v>20329.021679633326</v>
      </c>
      <c r="P46" s="13">
        <v>4962.0446458833321</v>
      </c>
      <c r="Q46" s="14"/>
      <c r="R46" s="13" t="e">
        <f>R7-R44</f>
        <v>#REF!</v>
      </c>
      <c r="S46" s="13" t="e">
        <f>S7-S44</f>
        <v>#REF!</v>
      </c>
      <c r="T46" s="13" t="e">
        <f>T7-T44</f>
        <v>#REF!</v>
      </c>
      <c r="U46" s="13" t="e">
        <f>U7-U44</f>
        <v>#REF!</v>
      </c>
      <c r="V46" s="17" t="e">
        <f>SUM(R46:U46)</f>
        <v>#REF!</v>
      </c>
      <c r="W46" s="45" t="e">
        <f>+V46-D46</f>
        <v>#REF!</v>
      </c>
      <c r="X46" t="str">
        <f>IF(ROUND((E46+F46+G46+H46+I46+J46+K46+L46+M46+N46+O46+P46),0)=D46," ","error")</f>
        <v xml:space="preserve"> </v>
      </c>
    </row>
    <row r="47" spans="1:24">
      <c r="E47" s="2"/>
      <c r="F47" s="2"/>
      <c r="R47"/>
    </row>
    <row r="48" spans="1:24">
      <c r="B48" s="83"/>
      <c r="C48" s="7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/>
    </row>
    <row r="49" spans="2:23">
      <c r="B49" s="7"/>
      <c r="C49" s="7"/>
      <c r="D49" s="7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/>
    </row>
    <row r="50" spans="2:23">
      <c r="B50" s="7"/>
      <c r="C50" s="7"/>
      <c r="D50" s="95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23" s="39" customFormat="1" ht="13.5" thickBot="1">
      <c r="B51" s="91" t="s">
        <v>13</v>
      </c>
      <c r="I51" s="91" t="s">
        <v>223</v>
      </c>
      <c r="K51" s="6"/>
      <c r="L51" s="6"/>
      <c r="M51" s="6"/>
      <c r="N51" s="6"/>
    </row>
    <row r="52" spans="2:23" s="39" customFormat="1">
      <c r="C52" s="111" t="s">
        <v>123</v>
      </c>
      <c r="D52" s="111" t="s">
        <v>124</v>
      </c>
      <c r="E52" s="111" t="s">
        <v>118</v>
      </c>
      <c r="G52" s="6"/>
      <c r="H52" s="6"/>
      <c r="I52" s="177"/>
      <c r="J52" s="178"/>
      <c r="K52" s="178"/>
      <c r="L52" s="178"/>
      <c r="M52" s="178"/>
      <c r="N52" s="178"/>
      <c r="O52" s="178"/>
      <c r="P52" s="179"/>
      <c r="Q52" s="178"/>
      <c r="R52" s="178"/>
      <c r="S52" s="178"/>
      <c r="T52" s="178"/>
      <c r="U52" s="178"/>
      <c r="V52" s="178"/>
      <c r="W52" s="179"/>
    </row>
    <row r="53" spans="2:23" s="39" customFormat="1">
      <c r="B53" s="92" t="s">
        <v>14</v>
      </c>
      <c r="C53" s="112">
        <v>125</v>
      </c>
      <c r="D53" s="150">
        <v>28</v>
      </c>
      <c r="E53" s="92">
        <v>3500</v>
      </c>
      <c r="G53" s="6"/>
      <c r="H53" s="6"/>
      <c r="I53" s="180"/>
      <c r="J53" s="6"/>
      <c r="K53" s="49" t="s">
        <v>217</v>
      </c>
      <c r="L53" s="49" t="s">
        <v>218</v>
      </c>
      <c r="M53" s="49" t="s">
        <v>219</v>
      </c>
      <c r="N53" s="49" t="s">
        <v>220</v>
      </c>
      <c r="O53" s="49" t="s">
        <v>221</v>
      </c>
      <c r="P53" s="199"/>
      <c r="Q53" s="6"/>
      <c r="R53" s="6"/>
      <c r="S53" s="6"/>
      <c r="T53" s="6"/>
      <c r="U53" s="6"/>
      <c r="V53" s="6"/>
      <c r="W53" s="181" t="s">
        <v>222</v>
      </c>
    </row>
    <row r="54" spans="2:23" s="39" customFormat="1">
      <c r="B54" s="92" t="s">
        <v>15</v>
      </c>
      <c r="C54" s="92">
        <v>2</v>
      </c>
      <c r="D54" s="150">
        <v>30</v>
      </c>
      <c r="E54" s="92">
        <v>60</v>
      </c>
      <c r="G54" s="6"/>
      <c r="H54" s="6"/>
      <c r="I54" s="180" t="s">
        <v>152</v>
      </c>
      <c r="J54" s="6"/>
      <c r="K54" s="29">
        <v>121.84615384615384</v>
      </c>
      <c r="L54" s="29">
        <v>130.37931034482759</v>
      </c>
      <c r="M54" s="29">
        <v>134.56666666666666</v>
      </c>
      <c r="N54" s="29">
        <v>125.36666666666666</v>
      </c>
      <c r="O54" s="29">
        <v>104.46666666666667</v>
      </c>
      <c r="P54" s="199"/>
      <c r="Q54" s="6"/>
      <c r="R54" s="6"/>
      <c r="S54" s="6"/>
      <c r="T54" s="6"/>
      <c r="U54" s="6"/>
      <c r="V54" s="6"/>
      <c r="W54" s="182">
        <f>AVERAGE(K54:O54)</f>
        <v>123.3250928381963</v>
      </c>
    </row>
    <row r="55" spans="2:23" s="39" customFormat="1">
      <c r="B55" s="92"/>
      <c r="C55" s="92"/>
      <c r="D55" s="150"/>
      <c r="E55" s="92">
        <v>3560</v>
      </c>
      <c r="G55" s="6"/>
      <c r="H55" s="6"/>
      <c r="I55" s="180" t="s">
        <v>153</v>
      </c>
      <c r="J55" s="6"/>
      <c r="K55" s="29">
        <v>27.423076923076923</v>
      </c>
      <c r="L55" s="29">
        <v>30.275862068965516</v>
      </c>
      <c r="M55" s="29">
        <v>31.333333333333332</v>
      </c>
      <c r="N55" s="29">
        <v>34.1</v>
      </c>
      <c r="O55" s="29">
        <v>24.8</v>
      </c>
      <c r="P55" s="199"/>
      <c r="Q55" s="6"/>
      <c r="R55" s="6"/>
      <c r="S55" s="6"/>
      <c r="T55" s="6"/>
      <c r="U55" s="6"/>
      <c r="V55" s="6"/>
      <c r="W55" s="182">
        <f t="shared" ref="W55:W59" si="7">AVERAGE(K55:O55)</f>
        <v>29.586454465075157</v>
      </c>
    </row>
    <row r="56" spans="2:23" s="39" customFormat="1">
      <c r="B56" s="92" t="s">
        <v>59</v>
      </c>
      <c r="C56" s="92">
        <v>30</v>
      </c>
      <c r="D56" s="150">
        <v>18</v>
      </c>
      <c r="E56" s="92">
        <v>540</v>
      </c>
      <c r="G56" s="6"/>
      <c r="H56" s="6"/>
      <c r="I56" s="180" t="s">
        <v>154</v>
      </c>
      <c r="J56" s="6"/>
      <c r="K56" s="29">
        <v>3.1666666666666665</v>
      </c>
      <c r="L56" s="29">
        <v>7.2222222222222223</v>
      </c>
      <c r="M56" s="29">
        <v>7.7368421052631575</v>
      </c>
      <c r="N56" s="29">
        <v>6.5789473684210522</v>
      </c>
      <c r="O56" s="29">
        <v>4.1875</v>
      </c>
      <c r="P56" s="199"/>
      <c r="Q56" s="6"/>
      <c r="R56" s="6"/>
      <c r="S56" s="6"/>
      <c r="T56" s="6"/>
      <c r="U56" s="6"/>
      <c r="V56" s="6"/>
      <c r="W56" s="182">
        <f t="shared" si="7"/>
        <v>5.77843567251462</v>
      </c>
    </row>
    <row r="57" spans="2:23" s="39" customFormat="1">
      <c r="B57" s="92" t="s">
        <v>60</v>
      </c>
      <c r="C57" s="92">
        <v>0</v>
      </c>
      <c r="D57" s="150">
        <v>21</v>
      </c>
      <c r="E57" s="92">
        <v>0</v>
      </c>
      <c r="G57" s="6"/>
      <c r="H57" s="6"/>
      <c r="I57" s="180" t="s">
        <v>155</v>
      </c>
      <c r="J57" s="6"/>
      <c r="K57" s="29">
        <v>46.166666666666664</v>
      </c>
      <c r="L57" s="29">
        <v>42.5</v>
      </c>
      <c r="M57" s="29">
        <v>55.5</v>
      </c>
      <c r="N57" s="29">
        <v>59.285714285714285</v>
      </c>
      <c r="O57" s="29">
        <v>42.571428571428569</v>
      </c>
      <c r="P57" s="199"/>
      <c r="Q57" s="6"/>
      <c r="R57" s="6"/>
      <c r="S57" s="6"/>
      <c r="T57" s="6"/>
      <c r="U57" s="6"/>
      <c r="V57" s="6"/>
      <c r="W57" s="182">
        <f t="shared" si="7"/>
        <v>49.204761904761902</v>
      </c>
    </row>
    <row r="58" spans="2:23" s="39" customFormat="1">
      <c r="B58" s="92"/>
      <c r="C58" s="92"/>
      <c r="D58" s="92"/>
      <c r="E58" s="92"/>
      <c r="G58" s="6"/>
      <c r="H58" s="6"/>
      <c r="I58" s="180"/>
      <c r="J58" s="6"/>
      <c r="K58" s="29"/>
      <c r="L58" s="29"/>
      <c r="M58" s="29"/>
      <c r="N58" s="29"/>
      <c r="O58" s="29"/>
      <c r="P58" s="199"/>
      <c r="Q58" s="6"/>
      <c r="R58" s="6"/>
      <c r="S58" s="6"/>
      <c r="T58" s="6"/>
      <c r="U58" s="6"/>
      <c r="V58" s="6"/>
      <c r="W58" s="182"/>
    </row>
    <row r="59" spans="2:23" s="39" customFormat="1" ht="13.5" thickBot="1">
      <c r="B59" s="92"/>
      <c r="C59" s="92"/>
      <c r="D59" s="92"/>
      <c r="E59" s="93">
        <v>4100</v>
      </c>
      <c r="F59" s="39" t="s">
        <v>34</v>
      </c>
      <c r="G59" s="6"/>
      <c r="H59" s="6"/>
      <c r="I59" s="183" t="s">
        <v>156</v>
      </c>
      <c r="J59" s="184"/>
      <c r="K59" s="185">
        <v>55.460526315789473</v>
      </c>
      <c r="L59" s="185">
        <v>61.05952380952381</v>
      </c>
      <c r="M59" s="185">
        <v>64</v>
      </c>
      <c r="N59" s="185">
        <v>61.906976744186046</v>
      </c>
      <c r="O59" s="185">
        <v>51.120481927710841</v>
      </c>
      <c r="P59" s="200"/>
      <c r="Q59" s="184"/>
      <c r="R59" s="184"/>
      <c r="S59" s="184"/>
      <c r="T59" s="184"/>
      <c r="U59" s="184"/>
      <c r="V59" s="184"/>
      <c r="W59" s="186">
        <f t="shared" si="7"/>
        <v>58.709501759442034</v>
      </c>
    </row>
    <row r="60" spans="2:23" s="39" customFormat="1">
      <c r="E60" s="126">
        <v>791300</v>
      </c>
      <c r="G60" s="6"/>
      <c r="H60" s="6"/>
      <c r="I60" s="6"/>
      <c r="J60" s="6"/>
      <c r="L60" s="6"/>
      <c r="M60" s="6"/>
      <c r="N60" s="6"/>
      <c r="O60" s="6"/>
    </row>
    <row r="61" spans="2:23" s="39" customFormat="1">
      <c r="B61" s="91" t="s">
        <v>31</v>
      </c>
      <c r="L61" s="6"/>
      <c r="M61" s="6"/>
      <c r="N61" s="6"/>
      <c r="O61" s="6"/>
    </row>
    <row r="62" spans="2:23" s="39" customFormat="1">
      <c r="B62" s="39">
        <v>300</v>
      </c>
      <c r="C62" s="39" t="s">
        <v>17</v>
      </c>
    </row>
    <row r="63" spans="2:23" s="39" customFormat="1">
      <c r="E63" s="39">
        <v>60</v>
      </c>
      <c r="F63" s="39" t="s">
        <v>34</v>
      </c>
    </row>
    <row r="64" spans="2:23" s="39" customFormat="1">
      <c r="B64" s="94" t="s">
        <v>2</v>
      </c>
      <c r="C64" s="92"/>
      <c r="D64" s="92" t="s">
        <v>61</v>
      </c>
      <c r="E64" s="92"/>
    </row>
    <row r="65" spans="2:6" s="39" customFormat="1">
      <c r="B65" s="92">
        <v>150</v>
      </c>
      <c r="C65" s="92" t="s">
        <v>18</v>
      </c>
      <c r="D65" s="92"/>
      <c r="E65" s="92"/>
    </row>
    <row r="66" spans="2:6" s="39" customFormat="1">
      <c r="B66" s="92">
        <v>625</v>
      </c>
      <c r="C66" s="92" t="s">
        <v>19</v>
      </c>
      <c r="D66" s="92">
        <v>1</v>
      </c>
      <c r="E66" s="92"/>
    </row>
    <row r="67" spans="2:6" s="39" customFormat="1">
      <c r="B67" s="92">
        <v>10</v>
      </c>
      <c r="C67" s="92" t="s">
        <v>20</v>
      </c>
      <c r="D67" s="92"/>
      <c r="E67" s="92"/>
    </row>
    <row r="68" spans="2:6" s="39" customFormat="1">
      <c r="B68" s="93">
        <v>785</v>
      </c>
      <c r="C68" s="92"/>
      <c r="D68" s="92"/>
      <c r="E68" s="92">
        <v>157</v>
      </c>
      <c r="F68" s="39" t="s">
        <v>34</v>
      </c>
    </row>
    <row r="69" spans="2:6" s="39" customFormat="1">
      <c r="B69" s="91" t="s">
        <v>1</v>
      </c>
    </row>
    <row r="70" spans="2:6" s="39" customFormat="1">
      <c r="B70" s="92">
        <v>20</v>
      </c>
      <c r="C70" s="92" t="s">
        <v>21</v>
      </c>
      <c r="D70" s="92"/>
      <c r="E70" s="92"/>
    </row>
    <row r="71" spans="2:6" s="39" customFormat="1">
      <c r="B71" s="92">
        <v>20</v>
      </c>
      <c r="C71" s="92" t="s">
        <v>22</v>
      </c>
      <c r="D71" s="92"/>
      <c r="E71" s="92"/>
    </row>
    <row r="72" spans="2:6" s="39" customFormat="1">
      <c r="B72" s="92">
        <v>10</v>
      </c>
      <c r="C72" s="92" t="s">
        <v>23</v>
      </c>
      <c r="D72" s="92"/>
      <c r="E72" s="92"/>
    </row>
    <row r="73" spans="2:6" s="39" customFormat="1">
      <c r="B73" s="92">
        <v>20</v>
      </c>
      <c r="C73" s="92" t="s">
        <v>24</v>
      </c>
      <c r="D73" s="92"/>
      <c r="E73" s="92"/>
    </row>
    <row r="74" spans="2:6" s="39" customFormat="1">
      <c r="B74" s="93">
        <v>70</v>
      </c>
      <c r="C74" s="92"/>
      <c r="D74" s="92"/>
      <c r="E74" s="92">
        <v>14</v>
      </c>
    </row>
    <row r="75" spans="2:6" s="39" customFormat="1"/>
    <row r="76" spans="2:6" s="39" customFormat="1">
      <c r="B76" s="91" t="s">
        <v>25</v>
      </c>
    </row>
    <row r="77" spans="2:6" s="39" customFormat="1">
      <c r="B77" s="92"/>
      <c r="C77" s="92" t="s">
        <v>64</v>
      </c>
      <c r="D77" s="92"/>
      <c r="E77" s="92"/>
      <c r="F77" s="39" t="s">
        <v>116</v>
      </c>
    </row>
    <row r="78" spans="2:6" s="39" customFormat="1">
      <c r="B78" s="92">
        <v>0</v>
      </c>
      <c r="C78" s="92"/>
      <c r="D78" s="92"/>
      <c r="E78" s="92">
        <v>0</v>
      </c>
    </row>
    <row r="79" spans="2:6" s="39" customFormat="1"/>
    <row r="80" spans="2:6" s="39" customFormat="1"/>
    <row r="81" s="39" customFormat="1"/>
  </sheetData>
  <pageMargins left="0.23622047244094491" right="0.23622047244094491" top="0.39370078740157483" bottom="0.39370078740157483" header="0.51181102362204722" footer="0.39370078740157483"/>
  <pageSetup paperSize="9" scale="86" fitToHeight="2" orientation="landscape" horizontalDpi="4294967293" verticalDpi="300" r:id="rId1"/>
  <headerFooter alignWithMargins="0">
    <oddFooter>&amp;L&amp;F, &amp;A&amp;R&amp;D</oddFooter>
  </headerFooter>
  <rowBreaks count="1" manualBreakCount="1">
    <brk id="49" min="1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AH91"/>
  <sheetViews>
    <sheetView zoomScaleNormal="100" workbookViewId="0">
      <selection activeCell="A2" sqref="A2:O37"/>
    </sheetView>
  </sheetViews>
  <sheetFormatPr defaultColWidth="9.140625" defaultRowHeight="12.75"/>
  <cols>
    <col min="1" max="1" width="30.5703125" style="6" customWidth="1"/>
    <col min="2" max="2" width="10.7109375" style="6" customWidth="1"/>
    <col min="3" max="3" width="13.140625" style="96" customWidth="1"/>
    <col min="4" max="4" width="10.28515625" style="7" customWidth="1"/>
    <col min="5" max="5" width="8.140625" style="7" customWidth="1"/>
    <col min="6" max="6" width="8.85546875" style="7" customWidth="1"/>
    <col min="7" max="7" width="9.85546875" style="7" customWidth="1"/>
    <col min="8" max="8" width="8.42578125" style="35" customWidth="1"/>
    <col min="9" max="9" width="7.140625" style="35" customWidth="1"/>
    <col min="10" max="10" width="10.42578125" style="25" customWidth="1"/>
    <col min="11" max="11" width="11.28515625" style="25" bestFit="1" customWidth="1"/>
    <col min="12" max="15" width="7.28515625" style="25" customWidth="1"/>
    <col min="16" max="16" width="6.28515625" style="7" customWidth="1"/>
    <col min="17" max="17" width="0" style="7" hidden="1" customWidth="1"/>
    <col min="18" max="18" width="0" style="2" hidden="1" customWidth="1"/>
    <col min="19" max="22" width="8.85546875" hidden="1" customWidth="1"/>
    <col min="23" max="23" width="16.85546875" style="7" hidden="1" customWidth="1"/>
    <col min="24" max="16384" width="9.140625" style="7"/>
  </cols>
  <sheetData>
    <row r="1" spans="1:26" ht="13.5" thickBot="1">
      <c r="D1" s="24"/>
      <c r="E1" s="24"/>
      <c r="F1" s="24"/>
      <c r="G1" s="24"/>
      <c r="H1" s="24"/>
      <c r="I1" s="24"/>
      <c r="J1" s="24"/>
      <c r="K1" s="24"/>
      <c r="R1"/>
    </row>
    <row r="2" spans="1:26" s="8" customFormat="1">
      <c r="A2" s="24"/>
      <c r="B2" s="24"/>
      <c r="C2" s="201" t="s">
        <v>46</v>
      </c>
      <c r="D2" s="67" t="s">
        <v>73</v>
      </c>
      <c r="E2" s="67" t="s">
        <v>74</v>
      </c>
      <c r="F2" s="67" t="s">
        <v>75</v>
      </c>
      <c r="G2" s="67" t="s">
        <v>76</v>
      </c>
      <c r="H2" s="67" t="s">
        <v>77</v>
      </c>
      <c r="I2" s="67" t="s">
        <v>78</v>
      </c>
      <c r="J2" s="67" t="s">
        <v>79</v>
      </c>
      <c r="K2" s="67" t="s">
        <v>80</v>
      </c>
      <c r="L2" s="67" t="s">
        <v>81</v>
      </c>
      <c r="M2" s="67" t="s">
        <v>82</v>
      </c>
      <c r="N2" s="67" t="s">
        <v>83</v>
      </c>
      <c r="O2" s="67" t="s">
        <v>84</v>
      </c>
      <c r="R2" s="18" t="s">
        <v>35</v>
      </c>
      <c r="S2" s="18" t="s">
        <v>36</v>
      </c>
      <c r="T2" s="18" t="s">
        <v>37</v>
      </c>
      <c r="U2" s="18" t="s">
        <v>38</v>
      </c>
      <c r="V2" s="3"/>
      <c r="W2" s="8" t="s">
        <v>55</v>
      </c>
    </row>
    <row r="3" spans="1:26" s="15" customFormat="1">
      <c r="A3" s="15" t="s">
        <v>16</v>
      </c>
      <c r="C3" s="189">
        <v>193</v>
      </c>
      <c r="D3" s="19">
        <v>0</v>
      </c>
      <c r="E3" s="19">
        <v>17</v>
      </c>
      <c r="F3" s="19">
        <v>20</v>
      </c>
      <c r="G3" s="19">
        <v>10</v>
      </c>
      <c r="H3" s="19">
        <v>21</v>
      </c>
      <c r="I3" s="19">
        <v>20</v>
      </c>
      <c r="J3" s="19">
        <v>12</v>
      </c>
      <c r="K3" s="19">
        <v>23</v>
      </c>
      <c r="L3" s="19">
        <v>20</v>
      </c>
      <c r="M3" s="19">
        <v>13</v>
      </c>
      <c r="N3" s="19">
        <v>22</v>
      </c>
      <c r="O3" s="19">
        <v>15</v>
      </c>
      <c r="R3" s="17">
        <f>SUM(D3:G3)</f>
        <v>47</v>
      </c>
      <c r="S3" s="17">
        <f>H3+I3+5</f>
        <v>46</v>
      </c>
      <c r="T3" s="17">
        <f>6+K3+L3</f>
        <v>49</v>
      </c>
      <c r="U3" s="17">
        <f>SUM(M3:O3)</f>
        <v>50</v>
      </c>
      <c r="W3" s="17">
        <f>SUM(R3:U3)</f>
        <v>192</v>
      </c>
    </row>
    <row r="4" spans="1:26" s="8" customFormat="1" ht="32.25" customHeight="1">
      <c r="A4" s="24" t="s">
        <v>10</v>
      </c>
      <c r="B4" s="134"/>
      <c r="C4" s="202"/>
      <c r="D4" s="24"/>
      <c r="E4" s="24"/>
      <c r="F4" s="24"/>
      <c r="G4" s="24"/>
      <c r="H4" s="26"/>
      <c r="I4" s="26"/>
      <c r="J4" s="27"/>
      <c r="K4" s="27"/>
      <c r="L4" s="27"/>
      <c r="M4" s="27"/>
      <c r="N4" s="27"/>
      <c r="O4" s="27"/>
      <c r="R4"/>
      <c r="S4"/>
      <c r="T4"/>
      <c r="U4"/>
      <c r="V4"/>
    </row>
    <row r="5" spans="1:26">
      <c r="A5" s="37" t="s">
        <v>41</v>
      </c>
      <c r="B5" s="37"/>
      <c r="C5" s="203">
        <v>75000</v>
      </c>
      <c r="D5" s="29">
        <v>0</v>
      </c>
      <c r="E5" s="29">
        <v>18750</v>
      </c>
      <c r="F5" s="29">
        <v>0</v>
      </c>
      <c r="G5" s="29">
        <v>18750</v>
      </c>
      <c r="H5" s="29">
        <v>0</v>
      </c>
      <c r="I5" s="29">
        <v>0</v>
      </c>
      <c r="J5" s="29">
        <v>18750</v>
      </c>
      <c r="K5" s="29">
        <v>0</v>
      </c>
      <c r="L5" s="29">
        <v>0</v>
      </c>
      <c r="M5" s="29">
        <v>18750</v>
      </c>
      <c r="N5" s="29">
        <v>0</v>
      </c>
      <c r="O5" s="29">
        <v>0</v>
      </c>
      <c r="P5" s="29"/>
      <c r="R5" s="10">
        <f>SUM(D5:G5)</f>
        <v>37500</v>
      </c>
      <c r="S5" s="10">
        <f>H5+I5+5/11*J5</f>
        <v>8522.7272727272721</v>
      </c>
      <c r="T5" s="10">
        <f>6/11*J5+K5+L5</f>
        <v>10227.272727272726</v>
      </c>
      <c r="U5" s="10">
        <f>SUM(M5:O5)</f>
        <v>18750</v>
      </c>
      <c r="W5" s="45">
        <f>C5-SUM(R5:U5)</f>
        <v>0</v>
      </c>
    </row>
    <row r="6" spans="1:26">
      <c r="A6" s="76" t="s">
        <v>138</v>
      </c>
      <c r="B6" s="37"/>
      <c r="C6" s="203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/>
      <c r="R6" s="10"/>
      <c r="S6" s="10"/>
      <c r="T6" s="10"/>
      <c r="U6" s="10"/>
      <c r="W6" s="45"/>
    </row>
    <row r="7" spans="1:26" ht="13.5" thickBot="1">
      <c r="A7" s="38" t="s">
        <v>28</v>
      </c>
      <c r="B7" s="38"/>
      <c r="C7" s="204">
        <v>75000</v>
      </c>
      <c r="D7" s="31">
        <v>0</v>
      </c>
      <c r="E7" s="31">
        <v>18750</v>
      </c>
      <c r="F7" s="31">
        <v>0</v>
      </c>
      <c r="G7" s="31">
        <v>18750</v>
      </c>
      <c r="H7" s="31">
        <v>0</v>
      </c>
      <c r="I7" s="31">
        <v>0</v>
      </c>
      <c r="J7" s="31">
        <v>18750</v>
      </c>
      <c r="K7" s="31">
        <v>0</v>
      </c>
      <c r="L7" s="31">
        <v>0</v>
      </c>
      <c r="M7" s="31">
        <v>18750</v>
      </c>
      <c r="N7" s="31">
        <v>0</v>
      </c>
      <c r="O7" s="31">
        <v>0</v>
      </c>
      <c r="P7" s="29" t="str">
        <f t="shared" ref="P7:P31" si="0">IF(O7+N7+M7+L7+K7+J7+I7+H7+G7+F7+E7+D7=C7," ","error")</f>
        <v xml:space="preserve"> </v>
      </c>
      <c r="R7" s="21">
        <f>SUM(D7:G7)</f>
        <v>37500</v>
      </c>
      <c r="S7" s="12">
        <f>H7+I7+5/11*J7</f>
        <v>8522.7272727272721</v>
      </c>
      <c r="T7" s="21">
        <f>6/11*J7+K7+L7</f>
        <v>10227.272727272726</v>
      </c>
      <c r="U7" s="21">
        <f>SUM(M7:O7)</f>
        <v>18750</v>
      </c>
      <c r="W7" s="45">
        <f>C7-SUM(R7:U7)</f>
        <v>0</v>
      </c>
    </row>
    <row r="8" spans="1:26" ht="13.5" thickTop="1">
      <c r="A8" s="29"/>
      <c r="B8" s="29"/>
      <c r="C8" s="205"/>
      <c r="D8" s="6"/>
      <c r="E8" s="6"/>
      <c r="F8" s="6"/>
      <c r="G8" s="6"/>
      <c r="H8" s="6"/>
      <c r="I8" s="6"/>
      <c r="J8" s="6"/>
      <c r="K8" s="6"/>
      <c r="L8" s="30"/>
      <c r="M8" s="30"/>
      <c r="N8" s="30"/>
      <c r="O8" s="30"/>
      <c r="P8" s="29" t="str">
        <f t="shared" si="0"/>
        <v xml:space="preserve"> </v>
      </c>
      <c r="R8"/>
      <c r="W8" s="45"/>
      <c r="Z8" s="6"/>
    </row>
    <row r="9" spans="1:26" s="8" customFormat="1" ht="29.25" customHeight="1">
      <c r="A9" s="24" t="s">
        <v>9</v>
      </c>
      <c r="B9" s="24"/>
      <c r="C9" s="206"/>
      <c r="D9" s="24"/>
      <c r="E9" s="24"/>
      <c r="F9" s="24"/>
      <c r="G9" s="24"/>
      <c r="H9" s="24"/>
      <c r="I9" s="24"/>
      <c r="J9" s="24"/>
      <c r="K9" s="24"/>
      <c r="L9" s="27"/>
      <c r="M9" s="27"/>
      <c r="N9" s="27"/>
      <c r="O9" s="27"/>
      <c r="P9" s="29" t="str">
        <f t="shared" si="0"/>
        <v xml:space="preserve"> </v>
      </c>
      <c r="R9"/>
      <c r="S9"/>
      <c r="T9"/>
      <c r="U9"/>
      <c r="V9"/>
      <c r="W9" s="45"/>
    </row>
    <row r="10" spans="1:26">
      <c r="A10" s="76" t="s">
        <v>193</v>
      </c>
      <c r="B10" s="37"/>
      <c r="C10" s="203">
        <v>55000</v>
      </c>
      <c r="D10" s="29">
        <v>0</v>
      </c>
      <c r="E10" s="29">
        <v>13750</v>
      </c>
      <c r="F10" s="29">
        <v>0</v>
      </c>
      <c r="G10" s="29">
        <v>0</v>
      </c>
      <c r="H10" s="29">
        <v>13750</v>
      </c>
      <c r="I10" s="29">
        <v>0</v>
      </c>
      <c r="J10" s="29">
        <v>0</v>
      </c>
      <c r="K10" s="29">
        <v>13750</v>
      </c>
      <c r="L10" s="29">
        <v>0</v>
      </c>
      <c r="M10" s="29">
        <v>13750</v>
      </c>
      <c r="N10" s="29">
        <v>0</v>
      </c>
      <c r="O10" s="29">
        <v>0</v>
      </c>
      <c r="P10" s="29"/>
      <c r="R10" s="10">
        <f t="shared" ref="R10:R24" si="1">SUM(D10:G10)</f>
        <v>13750</v>
      </c>
      <c r="S10" s="10">
        <f t="shared" ref="S10:S24" si="2">H10+I10+5/11*J10</f>
        <v>13750</v>
      </c>
      <c r="T10" s="10">
        <f t="shared" ref="T10:T24" si="3">6/11*J10+K10+L10</f>
        <v>13750</v>
      </c>
      <c r="U10" s="10">
        <f t="shared" ref="U10:U24" si="4">SUM(M10:O10)</f>
        <v>13750</v>
      </c>
      <c r="W10" s="45">
        <f t="shared" ref="W10:W24" si="5">C10-SUM(R10:U10)</f>
        <v>0</v>
      </c>
    </row>
    <row r="11" spans="1:26">
      <c r="A11" s="76" t="s">
        <v>194</v>
      </c>
      <c r="B11" s="37"/>
      <c r="C11" s="203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/>
      <c r="R11" s="10"/>
      <c r="S11" s="10"/>
      <c r="T11" s="10"/>
      <c r="U11" s="10"/>
      <c r="W11" s="45"/>
    </row>
    <row r="12" spans="1:26" s="32" customFormat="1">
      <c r="A12" s="37" t="s">
        <v>44</v>
      </c>
      <c r="B12" s="37"/>
      <c r="C12" s="203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 t="str">
        <f t="shared" si="0"/>
        <v xml:space="preserve"> </v>
      </c>
      <c r="R12" s="10">
        <f t="shared" si="1"/>
        <v>0</v>
      </c>
      <c r="S12" s="10">
        <f t="shared" si="2"/>
        <v>0</v>
      </c>
      <c r="T12" s="10">
        <f t="shared" si="3"/>
        <v>0</v>
      </c>
      <c r="U12" s="10">
        <f t="shared" si="4"/>
        <v>0</v>
      </c>
      <c r="V12"/>
      <c r="W12" s="45">
        <f t="shared" si="5"/>
        <v>0</v>
      </c>
    </row>
    <row r="13" spans="1:26">
      <c r="A13" s="37" t="s">
        <v>6</v>
      </c>
      <c r="B13" s="37"/>
      <c r="C13" s="203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 t="str">
        <f t="shared" si="0"/>
        <v xml:space="preserve"> </v>
      </c>
      <c r="R13" s="10">
        <f t="shared" si="1"/>
        <v>0</v>
      </c>
      <c r="S13" s="10">
        <f t="shared" si="2"/>
        <v>0</v>
      </c>
      <c r="T13" s="10">
        <f t="shared" si="3"/>
        <v>0</v>
      </c>
      <c r="U13" s="10">
        <f t="shared" si="4"/>
        <v>0</v>
      </c>
      <c r="W13" s="45">
        <f t="shared" si="5"/>
        <v>0</v>
      </c>
    </row>
    <row r="14" spans="1:26">
      <c r="A14" s="70" t="s">
        <v>56</v>
      </c>
      <c r="B14" s="37"/>
      <c r="C14" s="20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 t="str">
        <f t="shared" si="0"/>
        <v xml:space="preserve"> </v>
      </c>
      <c r="R14" s="10"/>
      <c r="S14" s="10"/>
      <c r="T14" s="10"/>
      <c r="U14" s="10"/>
      <c r="W14" s="45"/>
    </row>
    <row r="15" spans="1:26">
      <c r="A15" s="37" t="s">
        <v>42</v>
      </c>
      <c r="B15" s="37"/>
      <c r="C15" s="203">
        <v>700</v>
      </c>
      <c r="D15" s="29">
        <v>0</v>
      </c>
      <c r="E15" s="29">
        <v>61.6580310880829</v>
      </c>
      <c r="F15" s="29">
        <v>72.538860103626945</v>
      </c>
      <c r="G15" s="29">
        <v>36.269430051813472</v>
      </c>
      <c r="H15" s="29">
        <v>76.165803108808291</v>
      </c>
      <c r="I15" s="29">
        <v>72.538860103626945</v>
      </c>
      <c r="J15" s="29">
        <v>43.523316062176164</v>
      </c>
      <c r="K15" s="29">
        <v>83.419689119170982</v>
      </c>
      <c r="L15" s="29">
        <v>72.538860103626945</v>
      </c>
      <c r="M15" s="29">
        <v>47.15025906735751</v>
      </c>
      <c r="N15" s="29">
        <v>79.792746113989637</v>
      </c>
      <c r="O15" s="29">
        <v>54.404145077720209</v>
      </c>
      <c r="P15" s="29" t="str">
        <f t="shared" si="0"/>
        <v xml:space="preserve"> </v>
      </c>
      <c r="R15" s="10">
        <f>SUM(D15:G15)</f>
        <v>170.46632124352334</v>
      </c>
      <c r="S15" s="10">
        <f>H15+I15+5/11*J15</f>
        <v>168.48798869524259</v>
      </c>
      <c r="T15" s="10">
        <f>6/11*J15+K15+L15</f>
        <v>179.69853980216675</v>
      </c>
      <c r="U15" s="10">
        <f>SUM(M15:O15)</f>
        <v>181.34715025906735</v>
      </c>
      <c r="W15" s="45">
        <f>C15-SUM(R15:U15)</f>
        <v>0</v>
      </c>
    </row>
    <row r="16" spans="1:26" s="6" customFormat="1">
      <c r="A16" s="37" t="s">
        <v>47</v>
      </c>
      <c r="B16" s="37"/>
      <c r="C16" s="203">
        <v>900</v>
      </c>
      <c r="D16" s="29">
        <v>75</v>
      </c>
      <c r="E16" s="29">
        <v>75</v>
      </c>
      <c r="F16" s="29">
        <v>75</v>
      </c>
      <c r="G16" s="29">
        <v>75</v>
      </c>
      <c r="H16" s="29">
        <v>75</v>
      </c>
      <c r="I16" s="29">
        <v>75</v>
      </c>
      <c r="J16" s="29">
        <v>75</v>
      </c>
      <c r="K16" s="29">
        <v>75</v>
      </c>
      <c r="L16" s="29">
        <v>75</v>
      </c>
      <c r="M16" s="29">
        <v>75</v>
      </c>
      <c r="N16" s="29">
        <v>75</v>
      </c>
      <c r="O16" s="29">
        <v>75</v>
      </c>
      <c r="P16" s="29" t="str">
        <f t="shared" si="0"/>
        <v xml:space="preserve"> </v>
      </c>
      <c r="R16" s="10">
        <f t="shared" si="1"/>
        <v>300</v>
      </c>
      <c r="S16" s="10">
        <f t="shared" si="2"/>
        <v>184.09090909090909</v>
      </c>
      <c r="T16" s="10">
        <f t="shared" si="3"/>
        <v>190.90909090909091</v>
      </c>
      <c r="U16" s="10">
        <f t="shared" si="4"/>
        <v>225</v>
      </c>
      <c r="V16"/>
      <c r="W16" s="45">
        <f t="shared" si="5"/>
        <v>0</v>
      </c>
    </row>
    <row r="17" spans="1:24" s="32" customFormat="1">
      <c r="A17" s="37" t="s">
        <v>43</v>
      </c>
      <c r="B17" s="37"/>
      <c r="C17" s="203"/>
      <c r="D17" s="32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 t="str">
        <f t="shared" si="0"/>
        <v xml:space="preserve"> </v>
      </c>
      <c r="R17" s="10">
        <f>SUM(D17:G17)</f>
        <v>0</v>
      </c>
      <c r="S17" s="10">
        <f>H17+I17+5/11*J17</f>
        <v>0</v>
      </c>
      <c r="T17" s="10">
        <f>6/11*J17+K17+L17</f>
        <v>0</v>
      </c>
      <c r="U17" s="10">
        <f>SUM(M17:O17)</f>
        <v>0</v>
      </c>
      <c r="V17"/>
      <c r="W17" s="45">
        <f>C17-SUM(R17:U17)</f>
        <v>0</v>
      </c>
    </row>
    <row r="18" spans="1:24" s="32" customFormat="1">
      <c r="A18" s="76" t="s">
        <v>56</v>
      </c>
      <c r="B18" s="37"/>
      <c r="C18" s="203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 t="str">
        <f t="shared" si="0"/>
        <v xml:space="preserve"> </v>
      </c>
      <c r="R18" s="10"/>
      <c r="S18" s="10"/>
      <c r="T18" s="10"/>
      <c r="U18" s="10"/>
      <c r="V18"/>
      <c r="W18" s="45"/>
    </row>
    <row r="19" spans="1:24" s="6" customFormat="1">
      <c r="A19" s="70" t="s">
        <v>57</v>
      </c>
      <c r="B19" s="37"/>
      <c r="C19" s="203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29" t="str">
        <f t="shared" si="0"/>
        <v xml:space="preserve"> </v>
      </c>
      <c r="R19" s="10"/>
      <c r="S19" s="10"/>
      <c r="T19" s="10"/>
      <c r="U19" s="10"/>
      <c r="V19"/>
      <c r="W19" s="45"/>
    </row>
    <row r="20" spans="1:24">
      <c r="A20" s="121" t="s">
        <v>142</v>
      </c>
      <c r="B20" s="28"/>
      <c r="C20" s="207">
        <v>11817.624</v>
      </c>
      <c r="D20" s="36">
        <v>0</v>
      </c>
      <c r="E20" s="36">
        <v>1040.9306113989637</v>
      </c>
      <c r="F20" s="36">
        <v>1224.6242487046632</v>
      </c>
      <c r="G20" s="36">
        <v>612.31212435233158</v>
      </c>
      <c r="H20" s="36">
        <v>1285.8554611398963</v>
      </c>
      <c r="I20" s="36">
        <v>1224.6242487046632</v>
      </c>
      <c r="J20" s="36">
        <v>734.77454922279799</v>
      </c>
      <c r="K20" s="36">
        <v>1408.3178860103628</v>
      </c>
      <c r="L20" s="36">
        <v>1224.6242487046632</v>
      </c>
      <c r="M20" s="36">
        <v>796.00576165803102</v>
      </c>
      <c r="N20" s="36">
        <v>1347.0866735751295</v>
      </c>
      <c r="O20" s="36">
        <v>918.46818652849731</v>
      </c>
      <c r="P20" s="29" t="str">
        <f t="shared" si="0"/>
        <v xml:space="preserve"> </v>
      </c>
      <c r="R20" s="10">
        <f t="shared" si="1"/>
        <v>2877.8669844559586</v>
      </c>
      <c r="S20" s="10">
        <f t="shared" si="2"/>
        <v>2844.4681413094677</v>
      </c>
      <c r="T20" s="10">
        <f t="shared" si="3"/>
        <v>3033.7282524729158</v>
      </c>
      <c r="U20" s="10">
        <f t="shared" si="4"/>
        <v>3061.5606217616578</v>
      </c>
      <c r="W20" s="45">
        <f t="shared" si="5"/>
        <v>0</v>
      </c>
    </row>
    <row r="21" spans="1:24">
      <c r="A21" s="121" t="s">
        <v>143</v>
      </c>
      <c r="B21" s="28"/>
      <c r="C21" s="207">
        <v>1122.6742800000002</v>
      </c>
      <c r="D21" s="36">
        <v>0</v>
      </c>
      <c r="E21" s="36">
        <v>98.888408082901563</v>
      </c>
      <c r="F21" s="36">
        <v>116.33930362694302</v>
      </c>
      <c r="G21" s="36">
        <v>58.169651813471511</v>
      </c>
      <c r="H21" s="36">
        <v>122.15626880829016</v>
      </c>
      <c r="I21" s="36">
        <v>116.33930362694302</v>
      </c>
      <c r="J21" s="36">
        <v>69.803582176165818</v>
      </c>
      <c r="K21" s="36">
        <v>133.79019917098449</v>
      </c>
      <c r="L21" s="36">
        <v>116.33930362694302</v>
      </c>
      <c r="M21" s="36">
        <v>75.620547357512962</v>
      </c>
      <c r="N21" s="36">
        <v>127.97323398963734</v>
      </c>
      <c r="O21" s="36">
        <v>87.254477720207277</v>
      </c>
      <c r="P21" s="29" t="str">
        <f t="shared" si="0"/>
        <v xml:space="preserve"> </v>
      </c>
      <c r="R21" s="10">
        <f t="shared" si="1"/>
        <v>273.39736352331607</v>
      </c>
      <c r="S21" s="10">
        <f t="shared" si="2"/>
        <v>270.22447342439949</v>
      </c>
      <c r="T21" s="10">
        <f t="shared" si="3"/>
        <v>288.20418398492706</v>
      </c>
      <c r="U21" s="10">
        <f t="shared" si="4"/>
        <v>290.84825906735756</v>
      </c>
      <c r="W21" s="45">
        <f t="shared" si="5"/>
        <v>0</v>
      </c>
    </row>
    <row r="22" spans="1:24" s="32" customFormat="1">
      <c r="A22" s="121" t="s">
        <v>145</v>
      </c>
      <c r="B22" s="28"/>
      <c r="C22" s="207">
        <v>657.05989440000008</v>
      </c>
      <c r="D22" s="36">
        <v>0</v>
      </c>
      <c r="E22" s="36">
        <v>57.875741993782384</v>
      </c>
      <c r="F22" s="36">
        <v>68.089108227979281</v>
      </c>
      <c r="G22" s="36">
        <v>34.044554113989641</v>
      </c>
      <c r="H22" s="36">
        <v>71.493563639378252</v>
      </c>
      <c r="I22" s="36">
        <v>68.089108227979281</v>
      </c>
      <c r="J22" s="36">
        <v>40.853464936787567</v>
      </c>
      <c r="K22" s="36">
        <v>78.302474462176178</v>
      </c>
      <c r="L22" s="36">
        <v>68.089108227979281</v>
      </c>
      <c r="M22" s="36">
        <v>44.257920348186538</v>
      </c>
      <c r="N22" s="36">
        <v>74.898019050777208</v>
      </c>
      <c r="O22" s="36">
        <v>51.066831170984464</v>
      </c>
      <c r="P22" s="29" t="str">
        <f t="shared" si="0"/>
        <v xml:space="preserve"> </v>
      </c>
      <c r="R22" s="10">
        <f t="shared" si="1"/>
        <v>160.0094043357513</v>
      </c>
      <c r="S22" s="10">
        <f t="shared" si="2"/>
        <v>158.15242865680642</v>
      </c>
      <c r="T22" s="10">
        <f t="shared" si="3"/>
        <v>168.67529083749412</v>
      </c>
      <c r="U22" s="10">
        <f t="shared" si="4"/>
        <v>170.22277056994821</v>
      </c>
      <c r="V22"/>
      <c r="W22" s="45">
        <f t="shared" si="5"/>
        <v>0</v>
      </c>
    </row>
    <row r="23" spans="1:24" s="32" customFormat="1">
      <c r="A23" s="131" t="s">
        <v>0</v>
      </c>
      <c r="B23" s="28"/>
      <c r="C23" s="207">
        <v>165</v>
      </c>
      <c r="D23" s="36">
        <v>13.75</v>
      </c>
      <c r="E23" s="36">
        <v>13.75</v>
      </c>
      <c r="F23" s="36">
        <v>13.75</v>
      </c>
      <c r="G23" s="36">
        <v>13.75</v>
      </c>
      <c r="H23" s="36">
        <v>13.75</v>
      </c>
      <c r="I23" s="36">
        <v>13.75</v>
      </c>
      <c r="J23" s="36">
        <v>13.75</v>
      </c>
      <c r="K23" s="36">
        <v>13.75</v>
      </c>
      <c r="L23" s="36">
        <v>13.75</v>
      </c>
      <c r="M23" s="36">
        <v>13.75</v>
      </c>
      <c r="N23" s="36">
        <v>13.75</v>
      </c>
      <c r="O23" s="36">
        <v>13.75</v>
      </c>
      <c r="P23" s="29" t="str">
        <f t="shared" si="0"/>
        <v xml:space="preserve"> </v>
      </c>
      <c r="R23" s="10"/>
      <c r="S23" s="10"/>
      <c r="T23" s="10"/>
      <c r="U23" s="10"/>
      <c r="V23"/>
      <c r="W23" s="45"/>
    </row>
    <row r="24" spans="1:24">
      <c r="A24" s="131" t="s">
        <v>134</v>
      </c>
      <c r="B24" s="28"/>
      <c r="C24" s="207">
        <v>1500</v>
      </c>
      <c r="D24" s="36">
        <v>0</v>
      </c>
      <c r="E24" s="36">
        <v>132.12435233160622</v>
      </c>
      <c r="F24" s="36">
        <v>155.44041450777203</v>
      </c>
      <c r="G24" s="36">
        <v>77.720207253886016</v>
      </c>
      <c r="H24" s="36">
        <v>163.21243523316062</v>
      </c>
      <c r="I24" s="36">
        <v>155.44041450777203</v>
      </c>
      <c r="J24" s="36">
        <v>93.264248704663217</v>
      </c>
      <c r="K24" s="36">
        <v>178.75647668393782</v>
      </c>
      <c r="L24" s="36">
        <v>155.44041450777203</v>
      </c>
      <c r="M24" s="36">
        <v>101.03626943005182</v>
      </c>
      <c r="N24" s="36">
        <v>170.98445595854923</v>
      </c>
      <c r="O24" s="36">
        <v>116.58031088082902</v>
      </c>
      <c r="P24" s="29" t="str">
        <f t="shared" si="0"/>
        <v xml:space="preserve"> </v>
      </c>
      <c r="R24" s="10">
        <f t="shared" si="1"/>
        <v>365.28497409326428</v>
      </c>
      <c r="S24" s="10">
        <f t="shared" si="2"/>
        <v>361.0456900612341</v>
      </c>
      <c r="T24" s="10">
        <f t="shared" si="3"/>
        <v>385.06829957607158</v>
      </c>
      <c r="U24" s="10">
        <f t="shared" si="4"/>
        <v>388.60103626943004</v>
      </c>
      <c r="W24" s="45">
        <f t="shared" si="5"/>
        <v>0</v>
      </c>
    </row>
    <row r="25" spans="1:24">
      <c r="A25" s="131" t="s">
        <v>33</v>
      </c>
      <c r="B25" s="28"/>
      <c r="C25" s="207">
        <v>100</v>
      </c>
      <c r="D25" s="36"/>
      <c r="E25" s="36"/>
      <c r="F25" s="36"/>
      <c r="G25" s="36"/>
      <c r="H25" s="36"/>
      <c r="I25" s="36">
        <v>100</v>
      </c>
      <c r="J25" s="36"/>
      <c r="K25" s="36"/>
      <c r="L25" s="36"/>
      <c r="M25" s="36"/>
      <c r="N25" s="36"/>
      <c r="O25" s="36"/>
      <c r="P25" s="29"/>
      <c r="R25" s="10"/>
      <c r="S25" s="10"/>
      <c r="T25" s="10"/>
      <c r="U25" s="10"/>
      <c r="W25" s="45"/>
    </row>
    <row r="26" spans="1:24">
      <c r="A26" s="121" t="s">
        <v>231</v>
      </c>
      <c r="B26" s="28"/>
      <c r="C26" s="207">
        <v>9500</v>
      </c>
      <c r="D26" s="36">
        <v>2375</v>
      </c>
      <c r="E26" s="36"/>
      <c r="F26" s="36"/>
      <c r="G26" s="36">
        <v>2375</v>
      </c>
      <c r="H26" s="36"/>
      <c r="I26" s="36"/>
      <c r="J26" s="36">
        <v>2375</v>
      </c>
      <c r="K26" s="36"/>
      <c r="L26" s="36"/>
      <c r="M26" s="36">
        <v>2375</v>
      </c>
      <c r="N26" s="36"/>
      <c r="O26" s="36"/>
      <c r="P26" s="29" t="str">
        <f t="shared" si="0"/>
        <v xml:space="preserve"> </v>
      </c>
      <c r="R26" s="10"/>
      <c r="S26" s="10"/>
      <c r="T26" s="10"/>
      <c r="U26" s="10"/>
      <c r="W26" s="45"/>
    </row>
    <row r="27" spans="1:24">
      <c r="A27" s="121" t="s">
        <v>232</v>
      </c>
      <c r="B27" s="28"/>
      <c r="C27" s="207">
        <v>1282.5839858550139</v>
      </c>
      <c r="D27" s="36">
        <v>320.64599646375348</v>
      </c>
      <c r="E27" s="36"/>
      <c r="F27" s="36"/>
      <c r="G27" s="36">
        <v>320.64599646375348</v>
      </c>
      <c r="H27" s="36"/>
      <c r="I27" s="36"/>
      <c r="J27" s="36">
        <v>320.64599646375348</v>
      </c>
      <c r="K27" s="36"/>
      <c r="L27" s="36"/>
      <c r="M27" s="36">
        <v>320.64599646375348</v>
      </c>
      <c r="N27" s="36"/>
      <c r="O27" s="36"/>
      <c r="P27" s="29" t="str">
        <f t="shared" si="0"/>
        <v xml:space="preserve"> </v>
      </c>
      <c r="R27" s="10"/>
      <c r="S27" s="10"/>
      <c r="T27" s="10"/>
      <c r="U27" s="10"/>
      <c r="W27" s="45"/>
    </row>
    <row r="28" spans="1:24">
      <c r="A28" s="28"/>
      <c r="B28" s="28"/>
      <c r="C28" s="20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9" t="str">
        <f t="shared" si="0"/>
        <v xml:space="preserve"> </v>
      </c>
      <c r="R28" s="10"/>
      <c r="S28" s="10"/>
      <c r="T28" s="10"/>
      <c r="U28" s="10"/>
      <c r="W28" s="45"/>
    </row>
    <row r="29" spans="1:24" s="32" customFormat="1">
      <c r="A29" s="37"/>
      <c r="B29" s="37"/>
      <c r="C29" s="20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 t="str">
        <f t="shared" si="0"/>
        <v xml:space="preserve"> </v>
      </c>
      <c r="R29" s="10"/>
      <c r="S29"/>
      <c r="T29" s="10"/>
      <c r="U29" s="10"/>
      <c r="V29"/>
      <c r="W29" s="45"/>
    </row>
    <row r="30" spans="1:24" s="8" customFormat="1" ht="13.5" thickBot="1">
      <c r="A30" s="38" t="s">
        <v>30</v>
      </c>
      <c r="B30" s="38"/>
      <c r="C30" s="208">
        <v>82744.942160255014</v>
      </c>
      <c r="D30" s="33">
        <v>2784.3959964637534</v>
      </c>
      <c r="E30" s="33">
        <v>15230.227144895338</v>
      </c>
      <c r="F30" s="33">
        <v>1725.7819351709845</v>
      </c>
      <c r="G30" s="33">
        <v>3602.9119640492454</v>
      </c>
      <c r="H30" s="33">
        <v>15557.633531929534</v>
      </c>
      <c r="I30" s="33">
        <v>1825.7819351709845</v>
      </c>
      <c r="J30" s="33">
        <v>3766.6151575663444</v>
      </c>
      <c r="K30" s="33">
        <v>15721.336725446634</v>
      </c>
      <c r="L30" s="33">
        <v>1725.7819351709845</v>
      </c>
      <c r="M30" s="33">
        <v>17598.466754324894</v>
      </c>
      <c r="N30" s="33">
        <v>1889.4851286880828</v>
      </c>
      <c r="O30" s="33">
        <v>1316.5239513782383</v>
      </c>
      <c r="P30" s="29" t="str">
        <f t="shared" si="0"/>
        <v xml:space="preserve"> </v>
      </c>
      <c r="R30" s="33">
        <f>SUM(R10:R29)</f>
        <v>17897.025047651816</v>
      </c>
      <c r="S30" s="33">
        <f>SUM(S10:S29)</f>
        <v>17736.469631238055</v>
      </c>
      <c r="T30" s="33">
        <f>SUM(T10:T29)</f>
        <v>17996.283657582666</v>
      </c>
      <c r="U30" s="33">
        <f>SUM(U10:U29)</f>
        <v>18067.57983792746</v>
      </c>
      <c r="V30"/>
      <c r="W30" s="45">
        <f>C30-SUM(R30:U30)</f>
        <v>11047.583985855017</v>
      </c>
    </row>
    <row r="31" spans="1:24" ht="13.5" thickTop="1">
      <c r="C31" s="205"/>
      <c r="D31" s="6"/>
      <c r="E31" s="6"/>
      <c r="F31" s="6"/>
      <c r="G31" s="6"/>
      <c r="H31" s="6"/>
      <c r="I31" s="6"/>
      <c r="J31" s="6"/>
      <c r="K31" s="6"/>
      <c r="L31" s="30"/>
      <c r="M31" s="30"/>
      <c r="N31" s="30"/>
      <c r="O31" s="30"/>
      <c r="P31" s="29" t="str">
        <f t="shared" si="0"/>
        <v xml:space="preserve"> </v>
      </c>
      <c r="R31" s="30"/>
      <c r="S31" s="30"/>
      <c r="T31" s="30"/>
      <c r="U31" s="30"/>
      <c r="W31" s="45"/>
    </row>
    <row r="32" spans="1:24" s="155" customFormat="1" ht="13.5" thickBot="1">
      <c r="A32" s="152" t="s">
        <v>39</v>
      </c>
      <c r="B32" s="152"/>
      <c r="C32" s="209">
        <v>-7745</v>
      </c>
      <c r="D32" s="153">
        <v>-2784.3959964637534</v>
      </c>
      <c r="E32" s="153">
        <v>3519.7728551046621</v>
      </c>
      <c r="F32" s="153">
        <v>-1725.7819351709845</v>
      </c>
      <c r="G32" s="153">
        <v>15147.088035950754</v>
      </c>
      <c r="H32" s="153">
        <v>-15557.633531929534</v>
      </c>
      <c r="I32" s="153">
        <v>-1825.7819351709845</v>
      </c>
      <c r="J32" s="153">
        <v>14983.384842433656</v>
      </c>
      <c r="K32" s="153">
        <v>-15721.336725446634</v>
      </c>
      <c r="L32" s="153">
        <v>-1725.7819351709845</v>
      </c>
      <c r="M32" s="153">
        <v>1151.5332456751057</v>
      </c>
      <c r="N32" s="153">
        <v>-1889.4851286880828</v>
      </c>
      <c r="O32" s="153">
        <v>-1316.5239513782383</v>
      </c>
      <c r="P32" s="154" t="str">
        <f>IF(ROUND((O32+N32+M32+L32+K32+J32+I32+H32+G32+F32+E32+D32),0)=C32," ","error")</f>
        <v xml:space="preserve"> </v>
      </c>
      <c r="R32" s="153">
        <f>R7-R30</f>
        <v>19602.974952348184</v>
      </c>
      <c r="S32" s="153">
        <f>S7-S30</f>
        <v>-9213.7423585107827</v>
      </c>
      <c r="T32" s="153">
        <f>T7-T30</f>
        <v>-7769.0109303099398</v>
      </c>
      <c r="U32" s="153">
        <f>U7-U30</f>
        <v>682.42016207253982</v>
      </c>
      <c r="V32" s="156"/>
      <c r="W32" s="156">
        <f>C32-SUM(R32:U32)</f>
        <v>-11047.641825600002</v>
      </c>
      <c r="X32" s="170"/>
    </row>
    <row r="33" spans="1:34" ht="12.75" customHeight="1">
      <c r="D33" s="6"/>
      <c r="E33" s="6"/>
      <c r="F33" s="6"/>
      <c r="G33" s="6"/>
      <c r="H33" s="34"/>
      <c r="I33" s="34"/>
      <c r="J33" s="30"/>
      <c r="K33" s="30"/>
      <c r="L33" s="30"/>
      <c r="M33" s="30"/>
      <c r="N33" s="30"/>
      <c r="O33" s="30"/>
      <c r="R33" s="29"/>
      <c r="S33" s="6"/>
      <c r="T33" s="29"/>
      <c r="U33" s="29"/>
      <c r="V33" s="6"/>
      <c r="W33" s="45"/>
    </row>
    <row r="34" spans="1:34" s="6" customFormat="1">
      <c r="C34" s="96"/>
      <c r="H34" s="34"/>
      <c r="I34" s="34"/>
      <c r="J34" s="34"/>
      <c r="K34" s="30"/>
      <c r="L34" s="30"/>
      <c r="M34" s="30"/>
      <c r="N34" s="27"/>
      <c r="O34" s="30"/>
      <c r="P34" s="30"/>
      <c r="Q34" s="30"/>
      <c r="R34" s="29"/>
      <c r="T34" s="29"/>
      <c r="U34" s="29"/>
      <c r="W34" s="45"/>
      <c r="X34" s="30"/>
      <c r="Y34" s="30"/>
      <c r="Z34" s="30"/>
      <c r="AA34" s="30"/>
      <c r="AB34" s="30"/>
      <c r="AH34" s="30"/>
    </row>
    <row r="35" spans="1:34" s="6" customFormat="1">
      <c r="C35" s="96"/>
      <c r="D35" s="43"/>
      <c r="H35" s="34"/>
      <c r="I35" s="34"/>
      <c r="J35" s="30"/>
      <c r="K35" s="30"/>
      <c r="L35" s="30"/>
      <c r="M35" s="30"/>
      <c r="N35" s="30"/>
      <c r="O35" s="30"/>
      <c r="P35" s="30"/>
      <c r="Q35" s="30"/>
      <c r="W35" s="30"/>
      <c r="X35" s="30"/>
      <c r="Y35" s="30"/>
      <c r="Z35" s="30"/>
      <c r="AA35" s="30"/>
      <c r="AB35" s="30"/>
      <c r="AH35" s="30"/>
    </row>
    <row r="36" spans="1:34">
      <c r="A36" s="6" t="s">
        <v>208</v>
      </c>
      <c r="B36" s="71"/>
      <c r="D36" s="174" t="s">
        <v>210</v>
      </c>
      <c r="E36" s="6"/>
      <c r="F36" s="6"/>
      <c r="R36" s="6"/>
      <c r="S36" s="6"/>
      <c r="T36" s="6"/>
      <c r="U36" s="6"/>
      <c r="V36" s="6"/>
    </row>
    <row r="37" spans="1:34">
      <c r="A37" s="6" t="s">
        <v>209</v>
      </c>
      <c r="D37" s="6"/>
      <c r="E37" s="6"/>
      <c r="F37" s="6"/>
      <c r="R37" s="6"/>
      <c r="S37" s="6"/>
      <c r="T37" s="6"/>
      <c r="U37" s="6"/>
      <c r="V37" s="6"/>
    </row>
    <row r="38" spans="1:34">
      <c r="A38" s="24"/>
      <c r="B38" s="120"/>
      <c r="C38" s="165"/>
      <c r="D38" s="24"/>
      <c r="E38" s="24"/>
      <c r="F38" s="6"/>
      <c r="H38" s="166"/>
      <c r="J38" s="167"/>
      <c r="R38" s="6"/>
      <c r="S38" s="6"/>
      <c r="T38" s="6"/>
      <c r="U38" s="6"/>
      <c r="V38" s="6"/>
    </row>
    <row r="39" spans="1:34">
      <c r="A39" s="118"/>
      <c r="D39" s="6"/>
      <c r="E39" s="6"/>
      <c r="F39" s="6"/>
      <c r="R39" s="6"/>
      <c r="S39" s="6"/>
      <c r="T39" s="6"/>
      <c r="U39" s="6"/>
      <c r="V39" s="6"/>
    </row>
    <row r="40" spans="1:34">
      <c r="A40" s="118"/>
      <c r="D40" s="6"/>
      <c r="E40" s="6"/>
      <c r="F40" s="6"/>
      <c r="R40" s="6"/>
      <c r="S40" s="6"/>
      <c r="T40" s="6"/>
      <c r="U40" s="6"/>
      <c r="V40" s="6"/>
    </row>
    <row r="41" spans="1:34">
      <c r="A41" s="118"/>
      <c r="D41" s="6"/>
      <c r="R41" s="6"/>
      <c r="S41" s="6"/>
      <c r="T41" s="6"/>
      <c r="U41" s="6"/>
      <c r="V41" s="6"/>
    </row>
    <row r="42" spans="1:34">
      <c r="A42" s="49"/>
      <c r="D42" s="6"/>
      <c r="R42" s="6"/>
      <c r="S42" s="6"/>
      <c r="T42" s="6"/>
      <c r="U42" s="6"/>
      <c r="V42" s="6"/>
    </row>
    <row r="43" spans="1:34">
      <c r="A43" s="49"/>
      <c r="D43" s="6"/>
      <c r="R43" s="6"/>
      <c r="S43" s="6"/>
      <c r="T43" s="6"/>
      <c r="U43" s="6"/>
      <c r="V43" s="6"/>
    </row>
    <row r="44" spans="1:34">
      <c r="A44" s="49"/>
      <c r="D44" s="6"/>
      <c r="R44" s="6"/>
      <c r="S44" s="6"/>
      <c r="T44" s="6"/>
      <c r="U44" s="6"/>
      <c r="V44" s="6"/>
    </row>
    <row r="45" spans="1:34">
      <c r="R45" s="6"/>
      <c r="S45" s="6"/>
      <c r="T45" s="6"/>
      <c r="U45" s="6"/>
      <c r="V45" s="6"/>
    </row>
    <row r="46" spans="1:34">
      <c r="R46" s="6"/>
      <c r="S46" s="6"/>
      <c r="T46" s="6"/>
      <c r="U46" s="6"/>
      <c r="V46" s="6"/>
    </row>
    <row r="47" spans="1:34">
      <c r="R47" s="6"/>
      <c r="S47" s="6"/>
      <c r="T47" s="6"/>
      <c r="U47" s="6"/>
      <c r="V47" s="6"/>
    </row>
    <row r="48" spans="1:34">
      <c r="R48" s="6"/>
      <c r="S48" s="6"/>
      <c r="T48" s="6"/>
      <c r="U48" s="6"/>
      <c r="V48" s="6"/>
    </row>
    <row r="49" spans="18:22">
      <c r="R49" s="6"/>
      <c r="S49" s="6"/>
      <c r="T49" s="6"/>
      <c r="U49" s="6"/>
      <c r="V49" s="6"/>
    </row>
    <row r="50" spans="18:22">
      <c r="R50" s="6"/>
      <c r="S50" s="6"/>
      <c r="T50" s="6"/>
      <c r="U50" s="6"/>
      <c r="V50" s="6"/>
    </row>
    <row r="51" spans="18:22">
      <c r="R51" s="6"/>
      <c r="S51" s="6"/>
      <c r="T51" s="6"/>
      <c r="U51" s="6"/>
      <c r="V51" s="6"/>
    </row>
    <row r="52" spans="18:22">
      <c r="R52" s="6"/>
      <c r="S52" s="6"/>
      <c r="T52" s="6"/>
      <c r="U52" s="6"/>
      <c r="V52" s="6"/>
    </row>
    <row r="53" spans="18:22">
      <c r="R53" s="6"/>
      <c r="S53" s="6"/>
      <c r="T53" s="6"/>
      <c r="U53" s="6"/>
      <c r="V53" s="6"/>
    </row>
    <row r="54" spans="18:22">
      <c r="R54" s="6"/>
      <c r="S54" s="6"/>
      <c r="T54" s="6"/>
      <c r="U54" s="6"/>
      <c r="V54" s="6"/>
    </row>
    <row r="55" spans="18:22">
      <c r="R55" s="6"/>
      <c r="S55" s="6"/>
      <c r="T55" s="6"/>
      <c r="U55" s="6"/>
      <c r="V55" s="6"/>
    </row>
    <row r="56" spans="18:22">
      <c r="R56" s="6"/>
      <c r="S56" s="6"/>
      <c r="T56" s="6"/>
      <c r="U56" s="6"/>
      <c r="V56" s="6"/>
    </row>
    <row r="57" spans="18:22">
      <c r="R57" s="6"/>
      <c r="S57" s="6"/>
      <c r="T57" s="6"/>
      <c r="U57" s="6"/>
      <c r="V57" s="6"/>
    </row>
    <row r="58" spans="18:22">
      <c r="R58" s="6"/>
      <c r="S58" s="6"/>
      <c r="T58" s="6"/>
      <c r="U58" s="6"/>
      <c r="V58" s="6"/>
    </row>
    <row r="59" spans="18:22">
      <c r="R59" s="6"/>
      <c r="S59" s="6"/>
      <c r="T59" s="6"/>
      <c r="U59" s="6"/>
      <c r="V59" s="6"/>
    </row>
    <row r="60" spans="18:22">
      <c r="R60" s="6"/>
      <c r="S60" s="6"/>
      <c r="T60" s="6"/>
      <c r="U60" s="6"/>
      <c r="V60" s="6"/>
    </row>
    <row r="61" spans="18:22">
      <c r="R61" s="6"/>
      <c r="S61" s="6"/>
      <c r="T61" s="6"/>
      <c r="U61" s="6"/>
      <c r="V61" s="6"/>
    </row>
    <row r="62" spans="18:22">
      <c r="R62" s="6"/>
      <c r="S62" s="6"/>
      <c r="T62" s="6"/>
      <c r="U62" s="6"/>
      <c r="V62" s="6"/>
    </row>
    <row r="63" spans="18:22">
      <c r="R63" s="6"/>
      <c r="S63" s="6"/>
      <c r="T63" s="6"/>
      <c r="U63" s="6"/>
      <c r="V63" s="6"/>
    </row>
    <row r="64" spans="18:22">
      <c r="R64" s="6"/>
      <c r="S64" s="6"/>
      <c r="T64" s="6"/>
      <c r="U64" s="6"/>
      <c r="V64" s="6"/>
    </row>
    <row r="65" spans="18:22">
      <c r="R65" s="6"/>
      <c r="S65" s="6"/>
      <c r="T65" s="6"/>
      <c r="U65" s="6"/>
      <c r="V65" s="6"/>
    </row>
    <row r="66" spans="18:22">
      <c r="R66" s="6"/>
      <c r="S66" s="6"/>
      <c r="T66" s="6"/>
      <c r="U66" s="6"/>
      <c r="V66" s="6"/>
    </row>
    <row r="67" spans="18:22">
      <c r="R67" s="6"/>
      <c r="S67" s="6"/>
      <c r="T67" s="6"/>
      <c r="U67" s="6"/>
      <c r="V67" s="6"/>
    </row>
    <row r="68" spans="18:22">
      <c r="R68" s="6"/>
      <c r="S68" s="6"/>
      <c r="T68" s="6"/>
      <c r="U68" s="6"/>
      <c r="V68" s="6"/>
    </row>
    <row r="69" spans="18:22">
      <c r="R69" s="6"/>
      <c r="S69" s="6"/>
      <c r="T69" s="6"/>
      <c r="U69" s="6"/>
      <c r="V69" s="6"/>
    </row>
    <row r="70" spans="18:22">
      <c r="R70" s="6"/>
      <c r="S70" s="6"/>
      <c r="T70" s="6"/>
      <c r="U70" s="6"/>
      <c r="V70" s="6"/>
    </row>
    <row r="71" spans="18:22">
      <c r="R71" s="6"/>
      <c r="S71" s="6"/>
      <c r="T71" s="6"/>
      <c r="U71" s="6"/>
      <c r="V71" s="6"/>
    </row>
    <row r="72" spans="18:22">
      <c r="R72" s="6"/>
      <c r="S72" s="6"/>
      <c r="T72" s="6"/>
      <c r="U72" s="6"/>
      <c r="V72" s="6"/>
    </row>
    <row r="73" spans="18:22">
      <c r="R73" s="6"/>
      <c r="S73" s="6"/>
      <c r="T73" s="6"/>
      <c r="U73" s="6"/>
      <c r="V73" s="6"/>
    </row>
    <row r="74" spans="18:22">
      <c r="R74" s="6"/>
      <c r="S74" s="6"/>
      <c r="T74" s="6"/>
      <c r="U74" s="6"/>
      <c r="V74" s="6"/>
    </row>
    <row r="75" spans="18:22">
      <c r="R75" s="6"/>
      <c r="S75" s="6"/>
      <c r="T75" s="6"/>
      <c r="U75" s="6"/>
      <c r="V75" s="6"/>
    </row>
    <row r="76" spans="18:22">
      <c r="R76" s="6"/>
      <c r="S76" s="6"/>
      <c r="T76" s="6"/>
      <c r="U76" s="6"/>
      <c r="V76" s="6"/>
    </row>
    <row r="77" spans="18:22">
      <c r="R77" s="6"/>
      <c r="S77" s="6"/>
      <c r="T77" s="6"/>
      <c r="U77" s="6"/>
      <c r="V77" s="6"/>
    </row>
    <row r="78" spans="18:22">
      <c r="R78" s="6"/>
      <c r="S78" s="6"/>
      <c r="T78" s="6"/>
      <c r="U78" s="6"/>
      <c r="V78" s="6"/>
    </row>
    <row r="79" spans="18:22">
      <c r="R79" s="6"/>
      <c r="S79" s="6"/>
      <c r="T79" s="6"/>
      <c r="U79" s="6"/>
      <c r="V79" s="6"/>
    </row>
    <row r="80" spans="18:22">
      <c r="R80" s="6"/>
      <c r="S80" s="6"/>
      <c r="T80" s="6"/>
      <c r="U80" s="6"/>
      <c r="V80" s="6"/>
    </row>
    <row r="81" spans="18:22">
      <c r="R81" s="6"/>
      <c r="S81" s="6"/>
      <c r="T81" s="6"/>
      <c r="U81" s="6"/>
      <c r="V81" s="6"/>
    </row>
    <row r="82" spans="18:22">
      <c r="R82" s="6"/>
      <c r="S82" s="6"/>
      <c r="T82" s="6"/>
      <c r="U82" s="6"/>
      <c r="V82" s="6"/>
    </row>
    <row r="83" spans="18:22">
      <c r="R83" s="6"/>
      <c r="S83" s="6"/>
      <c r="T83" s="6"/>
      <c r="U83" s="6"/>
      <c r="V83" s="6"/>
    </row>
    <row r="84" spans="18:22">
      <c r="R84" s="6"/>
      <c r="S84" s="6"/>
      <c r="T84" s="6"/>
      <c r="U84" s="6"/>
      <c r="V84" s="6"/>
    </row>
    <row r="85" spans="18:22">
      <c r="R85" s="6"/>
      <c r="S85" s="6"/>
      <c r="T85" s="6"/>
      <c r="U85" s="6"/>
      <c r="V85" s="6"/>
    </row>
    <row r="86" spans="18:22">
      <c r="R86" s="6"/>
      <c r="S86" s="6"/>
      <c r="T86" s="6"/>
      <c r="U86" s="6"/>
      <c r="V86" s="6"/>
    </row>
    <row r="87" spans="18:22">
      <c r="R87" s="6"/>
      <c r="S87" s="6"/>
      <c r="T87" s="6"/>
      <c r="U87" s="6"/>
      <c r="V87" s="6"/>
    </row>
    <row r="88" spans="18:22">
      <c r="R88" s="6"/>
      <c r="S88" s="6"/>
      <c r="T88" s="6"/>
      <c r="U88" s="6"/>
      <c r="V88" s="6"/>
    </row>
    <row r="89" spans="18:22">
      <c r="R89" s="44"/>
      <c r="S89" s="6"/>
      <c r="T89" s="6"/>
      <c r="U89" s="6"/>
      <c r="V89" s="6"/>
    </row>
    <row r="90" spans="18:22">
      <c r="R90" s="44"/>
      <c r="S90" s="6"/>
      <c r="T90" s="6"/>
      <c r="U90" s="6"/>
      <c r="V90" s="6"/>
    </row>
    <row r="91" spans="18:22">
      <c r="R91" s="44"/>
      <c r="S91" s="6"/>
      <c r="T91" s="6"/>
      <c r="U91" s="6"/>
      <c r="V91" s="6"/>
    </row>
  </sheetData>
  <phoneticPr fontId="4" type="noConversion"/>
  <pageMargins left="0.74803149606299213" right="0.74803149606299213" top="0.98425196850393704" bottom="0.74803149606299213" header="0.51181102362204722" footer="0.51181102362204722"/>
  <pageSetup paperSize="9" scale="80" orientation="landscape" horizontalDpi="4294967293" verticalDpi="300" r:id="rId1"/>
  <headerFooter alignWithMargins="0">
    <oddFooter>&amp;L&amp;F, &amp;A&amp;R&amp;D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U46"/>
  <sheetViews>
    <sheetView zoomScaleNormal="100" workbookViewId="0">
      <selection activeCell="D25" sqref="D25"/>
    </sheetView>
  </sheetViews>
  <sheetFormatPr defaultColWidth="9.140625" defaultRowHeight="12.75"/>
  <cols>
    <col min="1" max="1" width="27.28515625" style="6" customWidth="1"/>
    <col min="2" max="2" width="2.28515625" style="6" customWidth="1"/>
    <col min="3" max="3" width="9.42578125" style="99" customWidth="1"/>
    <col min="4" max="4" width="6.5703125" style="7" customWidth="1"/>
    <col min="5" max="5" width="10.140625" style="7" bestFit="1" customWidth="1"/>
    <col min="6" max="6" width="10" style="7" bestFit="1" customWidth="1"/>
    <col min="7" max="7" width="10.42578125" style="7" bestFit="1" customWidth="1"/>
    <col min="8" max="8" width="10.140625" style="35" bestFit="1" customWidth="1"/>
    <col min="9" max="9" width="9.28515625" style="35" bestFit="1" customWidth="1"/>
    <col min="10" max="10" width="9.85546875" style="25" bestFit="1" customWidth="1"/>
    <col min="11" max="11" width="10" style="25" bestFit="1" customWidth="1"/>
    <col min="12" max="12" width="9.85546875" style="25" bestFit="1" customWidth="1"/>
    <col min="13" max="13" width="6.5703125" style="25" customWidth="1"/>
    <col min="14" max="15" width="7.28515625" style="25" customWidth="1"/>
    <col min="16" max="17" width="9.28515625" style="7" hidden="1" customWidth="1"/>
    <col min="18" max="20" width="0" style="7" hidden="1" customWidth="1"/>
    <col min="21" max="16384" width="9.140625" style="7"/>
  </cols>
  <sheetData>
    <row r="1" spans="1:21" ht="13.5" thickBot="1">
      <c r="D1" s="24"/>
      <c r="E1" s="24"/>
      <c r="F1" s="24"/>
      <c r="G1" s="24"/>
      <c r="H1" s="24"/>
      <c r="I1" s="24"/>
      <c r="J1" s="24"/>
      <c r="K1" s="30"/>
      <c r="L1" s="30"/>
      <c r="M1" s="30"/>
      <c r="N1" s="30"/>
      <c r="O1" s="30"/>
    </row>
    <row r="2" spans="1:21" s="8" customFormat="1" ht="25.5">
      <c r="A2" s="24"/>
      <c r="B2" s="24"/>
      <c r="C2" s="221" t="s">
        <v>46</v>
      </c>
      <c r="D2" s="67">
        <v>41640</v>
      </c>
      <c r="E2" s="67">
        <v>41671</v>
      </c>
      <c r="F2" s="67">
        <v>41699</v>
      </c>
      <c r="G2" s="67">
        <v>41730</v>
      </c>
      <c r="H2" s="67">
        <v>41760</v>
      </c>
      <c r="I2" s="67">
        <v>41791</v>
      </c>
      <c r="J2" s="67">
        <v>41821</v>
      </c>
      <c r="K2" s="67">
        <v>41852</v>
      </c>
      <c r="L2" s="67">
        <v>41883</v>
      </c>
      <c r="M2" s="67">
        <v>41913</v>
      </c>
      <c r="N2" s="67">
        <v>41944</v>
      </c>
      <c r="O2" s="67">
        <v>41974</v>
      </c>
      <c r="Q2" s="8" t="s">
        <v>35</v>
      </c>
      <c r="R2" s="8" t="s">
        <v>36</v>
      </c>
      <c r="S2" s="8" t="s">
        <v>37</v>
      </c>
      <c r="T2" s="8" t="s">
        <v>38</v>
      </c>
    </row>
    <row r="3" spans="1:21" s="15" customFormat="1">
      <c r="A3" s="15" t="s">
        <v>16</v>
      </c>
      <c r="C3" s="211">
        <v>151</v>
      </c>
      <c r="D3" s="19">
        <v>0</v>
      </c>
      <c r="E3" s="19">
        <v>10</v>
      </c>
      <c r="F3" s="19">
        <v>18</v>
      </c>
      <c r="G3" s="19">
        <v>8</v>
      </c>
      <c r="H3" s="19">
        <v>18</v>
      </c>
      <c r="I3" s="19">
        <v>17</v>
      </c>
      <c r="J3" s="19">
        <v>9</v>
      </c>
      <c r="K3" s="19">
        <v>19</v>
      </c>
      <c r="L3" s="19">
        <v>16</v>
      </c>
      <c r="M3" s="19">
        <v>10</v>
      </c>
      <c r="N3" s="19">
        <v>18</v>
      </c>
      <c r="O3" s="19">
        <v>8</v>
      </c>
      <c r="P3" s="16">
        <f>SUM(D3:O3)</f>
        <v>151</v>
      </c>
      <c r="Q3" s="17">
        <f>+E3+F3+G3</f>
        <v>36</v>
      </c>
      <c r="R3" s="17">
        <f>+H3+I3+J3-9</f>
        <v>35</v>
      </c>
      <c r="S3" s="17">
        <f>9+K3+L3</f>
        <v>44</v>
      </c>
      <c r="T3" s="17">
        <f>+M3+N3+O3</f>
        <v>36</v>
      </c>
    </row>
    <row r="4" spans="1:21" s="8" customFormat="1" ht="32.25" customHeight="1">
      <c r="A4" s="24" t="s">
        <v>10</v>
      </c>
      <c r="B4" s="24"/>
      <c r="C4" s="212"/>
      <c r="D4" s="24"/>
      <c r="E4" s="24"/>
      <c r="F4" s="24"/>
      <c r="G4" s="24"/>
      <c r="H4" s="26"/>
      <c r="I4" s="26"/>
      <c r="J4" s="27"/>
      <c r="K4" s="27"/>
      <c r="L4" s="27"/>
      <c r="M4" s="27"/>
      <c r="N4" s="27"/>
      <c r="O4" s="27"/>
    </row>
    <row r="5" spans="1:21">
      <c r="A5" s="37" t="s">
        <v>50</v>
      </c>
      <c r="B5" s="37"/>
      <c r="C5" s="214">
        <v>60000</v>
      </c>
      <c r="D5" s="29">
        <v>0</v>
      </c>
      <c r="E5" s="29">
        <v>3973.5099337748343</v>
      </c>
      <c r="F5" s="29">
        <v>7152.3178807947024</v>
      </c>
      <c r="G5" s="29">
        <v>3178.8079470198677</v>
      </c>
      <c r="H5" s="29">
        <v>7152.3178807947024</v>
      </c>
      <c r="I5" s="29">
        <v>6754.9668874172185</v>
      </c>
      <c r="J5" s="29">
        <v>3576.1589403973512</v>
      </c>
      <c r="K5" s="29">
        <v>7549.6688741721855</v>
      </c>
      <c r="L5" s="29">
        <v>6357.6158940397354</v>
      </c>
      <c r="M5" s="29">
        <v>3973.5099337748343</v>
      </c>
      <c r="N5" s="29">
        <v>7152.3178807947024</v>
      </c>
      <c r="O5" s="29">
        <v>3178.8079470198677</v>
      </c>
      <c r="Q5" s="78">
        <f>+E5+F5+G5</f>
        <v>14304.635761589405</v>
      </c>
      <c r="R5" s="7">
        <f>+H5+I5+(J5/J3*4)</f>
        <v>15496.688741721855</v>
      </c>
      <c r="S5" s="7">
        <f>+(+J5/13*9)+K5+L5</f>
        <v>16383.087111563935</v>
      </c>
      <c r="T5" s="78">
        <f>+M5+N5+O5</f>
        <v>14304.635761589405</v>
      </c>
      <c r="U5" s="7" t="str">
        <f>IF(O5+N5+M5+L5+K5+J5+I5+H5+G5+F5+E5+D5=C5," ","error")</f>
        <v xml:space="preserve"> </v>
      </c>
    </row>
    <row r="6" spans="1:21">
      <c r="A6" s="76" t="s">
        <v>68</v>
      </c>
      <c r="B6" s="37"/>
      <c r="C6" s="214">
        <v>6000</v>
      </c>
      <c r="D6" s="29"/>
      <c r="E6" s="29"/>
      <c r="F6" s="29">
        <v>1500</v>
      </c>
      <c r="G6" s="29"/>
      <c r="H6" s="29"/>
      <c r="I6" s="29">
        <v>1500</v>
      </c>
      <c r="J6" s="29"/>
      <c r="K6" s="29">
        <v>1500</v>
      </c>
      <c r="L6" s="29"/>
      <c r="M6" s="29"/>
      <c r="N6" s="29">
        <v>1500</v>
      </c>
      <c r="O6" s="29"/>
      <c r="Q6" s="7">
        <v>1125</v>
      </c>
      <c r="R6" s="7">
        <v>1125</v>
      </c>
      <c r="S6" s="7">
        <v>1125</v>
      </c>
      <c r="T6" s="6">
        <v>1125</v>
      </c>
      <c r="U6" s="7" t="str">
        <f t="shared" ref="U6:U37" si="0">IF(O6+N6+M6+L6+K6+J6+I6+H6+G6+F6+E6+D6=C6," ","error")</f>
        <v xml:space="preserve"> </v>
      </c>
    </row>
    <row r="7" spans="1:21" ht="13.5" thickBot="1">
      <c r="A7" s="38" t="s">
        <v>28</v>
      </c>
      <c r="B7" s="38"/>
      <c r="C7" s="216">
        <v>66000</v>
      </c>
      <c r="D7" s="31">
        <v>0</v>
      </c>
      <c r="E7" s="31">
        <v>3973.5099337748343</v>
      </c>
      <c r="F7" s="31">
        <v>8652.3178807947024</v>
      </c>
      <c r="G7" s="31">
        <v>3178.8079470198677</v>
      </c>
      <c r="H7" s="31">
        <v>7152.3178807947024</v>
      </c>
      <c r="I7" s="31">
        <v>8254.9668874172185</v>
      </c>
      <c r="J7" s="31">
        <v>3576.1589403973512</v>
      </c>
      <c r="K7" s="31">
        <v>9049.6688741721846</v>
      </c>
      <c r="L7" s="31">
        <v>6357.6158940397354</v>
      </c>
      <c r="M7" s="31">
        <v>3973.5099337748343</v>
      </c>
      <c r="N7" s="31">
        <v>8652.3178807947024</v>
      </c>
      <c r="O7" s="31">
        <v>3178.8079470198677</v>
      </c>
      <c r="Q7" s="31">
        <f>SUM(Q5:Q6)</f>
        <v>15429.635761589405</v>
      </c>
      <c r="R7" s="31">
        <f>SUM(R5:R6)</f>
        <v>16621.688741721853</v>
      </c>
      <c r="S7" s="31">
        <f>SUM(S5:S6)</f>
        <v>17508.087111563935</v>
      </c>
      <c r="T7" s="31">
        <f>SUM(T5:T6)</f>
        <v>15429.635761589405</v>
      </c>
      <c r="U7" s="7" t="str">
        <f t="shared" si="0"/>
        <v xml:space="preserve"> </v>
      </c>
    </row>
    <row r="8" spans="1:21" s="48" customFormat="1" ht="13.5" thickTop="1">
      <c r="A8" s="62"/>
      <c r="B8" s="62"/>
      <c r="C8" s="217"/>
      <c r="D8" s="46"/>
      <c r="E8" s="46"/>
      <c r="F8" s="46"/>
      <c r="G8" s="46"/>
      <c r="H8" s="46"/>
      <c r="I8" s="46"/>
      <c r="J8" s="46"/>
      <c r="K8" s="47"/>
      <c r="L8" s="47"/>
      <c r="M8" s="47"/>
      <c r="N8" s="47"/>
      <c r="O8" s="47"/>
      <c r="U8" s="7" t="str">
        <f t="shared" si="0"/>
        <v xml:space="preserve"> </v>
      </c>
    </row>
    <row r="9" spans="1:21" s="8" customFormat="1" ht="29.25" customHeight="1">
      <c r="A9" s="24" t="s">
        <v>9</v>
      </c>
      <c r="B9" s="24"/>
      <c r="C9" s="202"/>
      <c r="D9" s="24"/>
      <c r="E9" s="24"/>
      <c r="F9" s="24"/>
      <c r="G9" s="24"/>
      <c r="H9" s="24"/>
      <c r="I9" s="24"/>
      <c r="J9" s="27"/>
      <c r="K9" s="27"/>
      <c r="L9" s="27"/>
      <c r="M9" s="27"/>
      <c r="N9" s="27"/>
      <c r="O9" s="27"/>
      <c r="U9" s="7" t="str">
        <f t="shared" si="0"/>
        <v xml:space="preserve"> </v>
      </c>
    </row>
    <row r="10" spans="1:21" s="8" customFormat="1" ht="12.75" customHeight="1">
      <c r="A10" s="24"/>
      <c r="B10" s="24"/>
      <c r="C10" s="202"/>
      <c r="D10" s="24"/>
      <c r="E10" s="24"/>
      <c r="F10" s="24"/>
      <c r="G10" s="24"/>
      <c r="H10" s="24"/>
      <c r="I10" s="24"/>
      <c r="J10" s="27"/>
      <c r="K10" s="27"/>
      <c r="L10" s="27"/>
      <c r="M10" s="27"/>
      <c r="N10" s="27"/>
      <c r="O10" s="27"/>
      <c r="U10" s="7" t="str">
        <f t="shared" si="0"/>
        <v xml:space="preserve"> </v>
      </c>
    </row>
    <row r="11" spans="1:21" s="32" customFormat="1">
      <c r="A11" s="37" t="s">
        <v>2</v>
      </c>
      <c r="B11" s="37"/>
      <c r="C11" s="218">
        <v>28000</v>
      </c>
      <c r="D11" s="29">
        <v>0</v>
      </c>
      <c r="E11" s="29">
        <v>1854.3046357615895</v>
      </c>
      <c r="F11" s="29">
        <v>3337.7483443708611</v>
      </c>
      <c r="G11" s="29">
        <v>1483.4437086092714</v>
      </c>
      <c r="H11" s="29">
        <v>3337.7483443708611</v>
      </c>
      <c r="I11" s="29">
        <v>3152.317880794702</v>
      </c>
      <c r="J11" s="29">
        <v>1668.8741721854306</v>
      </c>
      <c r="K11" s="29">
        <v>3523.1788079470198</v>
      </c>
      <c r="L11" s="29">
        <v>2966.8874172185429</v>
      </c>
      <c r="M11" s="29">
        <v>1854.3046357615895</v>
      </c>
      <c r="N11" s="29">
        <v>3337.7483443708611</v>
      </c>
      <c r="O11" s="29">
        <v>1483.4437086092714</v>
      </c>
      <c r="Q11" s="79">
        <f>+E11+F11+G11</f>
        <v>6675.4966887417213</v>
      </c>
      <c r="R11" s="79">
        <f>+H11+I11</f>
        <v>6490.0662251655631</v>
      </c>
      <c r="S11" s="79">
        <f>+J11+K11+L11</f>
        <v>8158.9403973509925</v>
      </c>
      <c r="T11" s="79">
        <f>+M11+N11+O11</f>
        <v>6675.4966887417213</v>
      </c>
      <c r="U11" s="7" t="str">
        <f t="shared" si="0"/>
        <v xml:space="preserve"> </v>
      </c>
    </row>
    <row r="12" spans="1:21" s="32" customFormat="1">
      <c r="A12" s="76" t="s">
        <v>69</v>
      </c>
      <c r="B12" s="37"/>
      <c r="C12" s="218">
        <v>3000</v>
      </c>
      <c r="D12" s="29"/>
      <c r="E12" s="29"/>
      <c r="F12" s="29">
        <v>750</v>
      </c>
      <c r="G12" s="29"/>
      <c r="H12" s="29"/>
      <c r="I12" s="29">
        <v>750</v>
      </c>
      <c r="J12" s="29"/>
      <c r="K12" s="29">
        <v>750</v>
      </c>
      <c r="L12" s="29"/>
      <c r="M12" s="29"/>
      <c r="N12" s="29">
        <v>750</v>
      </c>
      <c r="O12" s="29"/>
      <c r="Q12" s="32">
        <v>563</v>
      </c>
      <c r="R12" s="32">
        <v>563</v>
      </c>
      <c r="S12" s="32">
        <v>563</v>
      </c>
      <c r="T12" s="32">
        <v>563</v>
      </c>
      <c r="U12" s="7" t="str">
        <f t="shared" si="0"/>
        <v xml:space="preserve"> </v>
      </c>
    </row>
    <row r="13" spans="1:21" s="32" customFormat="1">
      <c r="A13" s="37" t="s">
        <v>44</v>
      </c>
      <c r="B13" s="37"/>
      <c r="C13" s="218">
        <v>31900</v>
      </c>
      <c r="D13" s="29">
        <v>2658.3333333333335</v>
      </c>
      <c r="E13" s="29">
        <v>2658.3333333333335</v>
      </c>
      <c r="F13" s="29">
        <v>2658.3333333333335</v>
      </c>
      <c r="G13" s="29">
        <v>2658.3333333333335</v>
      </c>
      <c r="H13" s="29">
        <v>2658.3333333333335</v>
      </c>
      <c r="I13" s="29">
        <v>2658.3333333333335</v>
      </c>
      <c r="J13" s="29">
        <v>2658.3333333333335</v>
      </c>
      <c r="K13" s="29">
        <v>2658.3333333333335</v>
      </c>
      <c r="L13" s="29">
        <v>2658.3333333333335</v>
      </c>
      <c r="M13" s="29">
        <v>2658.3333333333335</v>
      </c>
      <c r="N13" s="29">
        <v>2658.3333333333335</v>
      </c>
      <c r="O13" s="29">
        <v>2658.3333333333335</v>
      </c>
      <c r="P13" s="81"/>
      <c r="Q13" s="82">
        <f>+E13+F13+G13</f>
        <v>7975</v>
      </c>
      <c r="R13" s="79">
        <f>+H13+I13+(J13/2)</f>
        <v>6645.8333333333339</v>
      </c>
      <c r="S13" s="32">
        <f>+(J13/2)+K13+L13+M13</f>
        <v>9304.1666666666679</v>
      </c>
      <c r="T13" s="79">
        <f>+N13+O13</f>
        <v>5316.666666666667</v>
      </c>
      <c r="U13" s="7" t="str">
        <f t="shared" si="0"/>
        <v xml:space="preserve"> </v>
      </c>
    </row>
    <row r="14" spans="1:21" s="32" customFormat="1">
      <c r="A14" s="76" t="s">
        <v>40</v>
      </c>
      <c r="B14" s="37"/>
      <c r="C14" s="218">
        <v>3030.5</v>
      </c>
      <c r="D14" s="29">
        <v>252.54166666666666</v>
      </c>
      <c r="E14" s="29">
        <v>252.54166666666666</v>
      </c>
      <c r="F14" s="29">
        <v>252.54166666666666</v>
      </c>
      <c r="G14" s="29">
        <v>252.54166666666666</v>
      </c>
      <c r="H14" s="29">
        <v>252.54166666666666</v>
      </c>
      <c r="I14" s="29">
        <v>252.54166666666666</v>
      </c>
      <c r="J14" s="29">
        <v>252.54166666666666</v>
      </c>
      <c r="K14" s="29">
        <v>252.54166666666666</v>
      </c>
      <c r="L14" s="29">
        <v>252.54166666666666</v>
      </c>
      <c r="M14" s="29">
        <v>252.54166666666666</v>
      </c>
      <c r="N14" s="29">
        <v>252.54166666666666</v>
      </c>
      <c r="O14" s="29">
        <v>252.54166666666666</v>
      </c>
      <c r="P14" s="81"/>
      <c r="Q14" s="82"/>
      <c r="R14" s="79"/>
      <c r="T14" s="79"/>
      <c r="U14" s="7" t="str">
        <f t="shared" si="0"/>
        <v xml:space="preserve"> </v>
      </c>
    </row>
    <row r="15" spans="1:21" s="32" customFormat="1">
      <c r="A15" s="76" t="s">
        <v>127</v>
      </c>
      <c r="B15" s="37"/>
      <c r="C15" s="218">
        <v>1773.6399999999999</v>
      </c>
      <c r="D15" s="29">
        <v>147.80333333333331</v>
      </c>
      <c r="E15" s="29">
        <v>147.80333333333331</v>
      </c>
      <c r="F15" s="29">
        <v>147.80333333333331</v>
      </c>
      <c r="G15" s="29">
        <v>147.80333333333331</v>
      </c>
      <c r="H15" s="29">
        <v>147.80333333333331</v>
      </c>
      <c r="I15" s="29">
        <v>147.80333333333331</v>
      </c>
      <c r="J15" s="29">
        <v>147.80333333333331</v>
      </c>
      <c r="K15" s="29">
        <v>147.80333333333331</v>
      </c>
      <c r="L15" s="29">
        <v>147.80333333333331</v>
      </c>
      <c r="M15" s="29">
        <v>147.80333333333331</v>
      </c>
      <c r="N15" s="29">
        <v>147.80333333333331</v>
      </c>
      <c r="O15" s="29">
        <v>147.80333333333331</v>
      </c>
      <c r="P15" s="81"/>
      <c r="Q15" s="82"/>
      <c r="R15" s="79"/>
      <c r="T15" s="79"/>
      <c r="U15" s="7" t="str">
        <f t="shared" si="0"/>
        <v xml:space="preserve"> </v>
      </c>
    </row>
    <row r="16" spans="1:21">
      <c r="A16" s="70" t="s">
        <v>56</v>
      </c>
      <c r="B16" s="37"/>
      <c r="C16" s="21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U16" s="7" t="str">
        <f t="shared" si="0"/>
        <v xml:space="preserve"> </v>
      </c>
    </row>
    <row r="17" spans="1:21">
      <c r="A17" s="37"/>
      <c r="B17" s="37"/>
      <c r="C17" s="214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21">
      <c r="A18" s="37" t="s">
        <v>51</v>
      </c>
      <c r="B18" s="37"/>
      <c r="C18" s="218">
        <v>1372.8</v>
      </c>
      <c r="D18" s="29"/>
      <c r="E18" s="29">
        <v>124.8</v>
      </c>
      <c r="F18" s="29">
        <v>124.8</v>
      </c>
      <c r="G18" s="29">
        <v>124.8</v>
      </c>
      <c r="H18" s="29">
        <v>124.8</v>
      </c>
      <c r="I18" s="29">
        <v>124.8</v>
      </c>
      <c r="J18" s="29">
        <v>124.8</v>
      </c>
      <c r="K18" s="29">
        <v>124.8</v>
      </c>
      <c r="L18" s="29">
        <v>124.8</v>
      </c>
      <c r="M18" s="29">
        <v>124.8</v>
      </c>
      <c r="N18" s="29">
        <v>124.8</v>
      </c>
      <c r="O18" s="29">
        <v>124.8</v>
      </c>
      <c r="Q18" s="29">
        <f>+$C$18/4</f>
        <v>343.2</v>
      </c>
      <c r="R18" s="29">
        <f>+$C$18/4</f>
        <v>343.2</v>
      </c>
      <c r="S18" s="29">
        <f>+$C$18/4</f>
        <v>343.2</v>
      </c>
      <c r="T18" s="29">
        <f>+$C$18/4</f>
        <v>343.2</v>
      </c>
      <c r="U18" s="7" t="str">
        <f t="shared" si="0"/>
        <v xml:space="preserve"> </v>
      </c>
    </row>
    <row r="19" spans="1:21">
      <c r="A19" s="37" t="s">
        <v>52</v>
      </c>
      <c r="B19" s="37"/>
      <c r="C19" s="218">
        <v>105</v>
      </c>
      <c r="D19" s="29">
        <v>0</v>
      </c>
      <c r="E19" s="29">
        <v>0</v>
      </c>
      <c r="F19" s="29">
        <v>0</v>
      </c>
      <c r="G19" s="29">
        <v>105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Q19" s="29">
        <v>105</v>
      </c>
      <c r="U19" s="7" t="str">
        <f t="shared" si="0"/>
        <v xml:space="preserve"> </v>
      </c>
    </row>
    <row r="20" spans="1:21">
      <c r="A20" s="76" t="s">
        <v>119</v>
      </c>
      <c r="B20" s="37"/>
      <c r="C20" s="218">
        <v>420</v>
      </c>
      <c r="D20" s="98">
        <v>200</v>
      </c>
      <c r="E20" s="29">
        <v>20</v>
      </c>
      <c r="F20" s="29">
        <v>20</v>
      </c>
      <c r="G20" s="29">
        <v>20</v>
      </c>
      <c r="H20" s="29">
        <v>20</v>
      </c>
      <c r="I20" s="29">
        <v>20</v>
      </c>
      <c r="J20" s="29">
        <v>20</v>
      </c>
      <c r="K20" s="29">
        <v>20</v>
      </c>
      <c r="L20" s="29">
        <v>20</v>
      </c>
      <c r="M20" s="29">
        <v>20</v>
      </c>
      <c r="N20" s="29">
        <v>20</v>
      </c>
      <c r="O20" s="29">
        <v>20</v>
      </c>
      <c r="Q20" s="29">
        <f>+$C$20/4</f>
        <v>105</v>
      </c>
      <c r="R20" s="29">
        <f>+$C$20/4</f>
        <v>105</v>
      </c>
      <c r="S20" s="29">
        <f>+$C$20/4</f>
        <v>105</v>
      </c>
      <c r="T20" s="29">
        <f>+$C$20/4</f>
        <v>105</v>
      </c>
      <c r="U20" s="7" t="str">
        <f t="shared" si="0"/>
        <v xml:space="preserve"> </v>
      </c>
    </row>
    <row r="21" spans="1:21">
      <c r="A21" s="76" t="s">
        <v>71</v>
      </c>
      <c r="B21" s="37"/>
      <c r="C21" s="21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Q21" s="29"/>
      <c r="R21" s="29"/>
      <c r="S21" s="29"/>
      <c r="T21" s="29"/>
      <c r="U21" s="7" t="str">
        <f t="shared" si="0"/>
        <v xml:space="preserve"> </v>
      </c>
    </row>
    <row r="22" spans="1:21">
      <c r="A22" s="37" t="s">
        <v>53</v>
      </c>
      <c r="B22" s="37"/>
      <c r="C22" s="218">
        <v>300</v>
      </c>
      <c r="D22" s="29">
        <v>0</v>
      </c>
      <c r="E22" s="29">
        <v>27.272727272727273</v>
      </c>
      <c r="F22" s="29">
        <v>27.272727272727273</v>
      </c>
      <c r="G22" s="29">
        <v>27.272727272727273</v>
      </c>
      <c r="H22" s="29">
        <v>27.272727272727273</v>
      </c>
      <c r="I22" s="29">
        <v>27.272727272727273</v>
      </c>
      <c r="J22" s="29">
        <v>27.272727272727273</v>
      </c>
      <c r="K22" s="29">
        <v>27.272727272727273</v>
      </c>
      <c r="L22" s="29">
        <v>27.272727272727273</v>
      </c>
      <c r="M22" s="29">
        <v>27.272727272727273</v>
      </c>
      <c r="N22" s="29">
        <v>27.272727272727273</v>
      </c>
      <c r="O22" s="29">
        <v>27.272727272727273</v>
      </c>
      <c r="Q22" s="29">
        <f>+$C$22/4</f>
        <v>75</v>
      </c>
      <c r="R22" s="29">
        <f>+$C$22/4</f>
        <v>75</v>
      </c>
      <c r="S22" s="29">
        <f>+$C$22/4</f>
        <v>75</v>
      </c>
      <c r="T22" s="29">
        <f>+$C$22/4</f>
        <v>75</v>
      </c>
      <c r="U22" s="7" t="str">
        <f t="shared" si="0"/>
        <v xml:space="preserve"> </v>
      </c>
    </row>
    <row r="23" spans="1:21" s="6" customFormat="1">
      <c r="A23" s="76" t="s">
        <v>227</v>
      </c>
      <c r="B23" s="37"/>
      <c r="C23" s="218">
        <v>1500</v>
      </c>
      <c r="D23" s="29">
        <v>1500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Q23" s="29"/>
      <c r="R23" s="29"/>
      <c r="S23" s="29"/>
      <c r="T23" s="29"/>
      <c r="U23" s="172" t="s">
        <v>199</v>
      </c>
    </row>
    <row r="24" spans="1:21">
      <c r="A24" s="76" t="s">
        <v>72</v>
      </c>
      <c r="B24" s="37"/>
      <c r="C24" s="218">
        <v>799.99999999999989</v>
      </c>
      <c r="D24" s="29">
        <v>66.666666666666671</v>
      </c>
      <c r="E24" s="29">
        <v>66.666666666666671</v>
      </c>
      <c r="F24" s="29">
        <v>66.666666666666671</v>
      </c>
      <c r="G24" s="29">
        <v>66.666666666666671</v>
      </c>
      <c r="H24" s="29">
        <v>66.666666666666671</v>
      </c>
      <c r="I24" s="29">
        <v>66.666666666666671</v>
      </c>
      <c r="J24" s="29">
        <v>66.666666666666671</v>
      </c>
      <c r="K24" s="29">
        <v>66.666666666666671</v>
      </c>
      <c r="L24" s="29">
        <v>66.666666666666671</v>
      </c>
      <c r="M24" s="29">
        <v>66.666666666666671</v>
      </c>
      <c r="N24" s="29">
        <v>66.666666666666671</v>
      </c>
      <c r="O24" s="29">
        <v>66.666666666666671</v>
      </c>
      <c r="Q24" s="29"/>
      <c r="R24" s="29"/>
      <c r="S24" s="29"/>
      <c r="T24" s="29"/>
      <c r="U24" s="7" t="str">
        <f t="shared" si="0"/>
        <v xml:space="preserve"> </v>
      </c>
    </row>
    <row r="25" spans="1:21">
      <c r="A25" s="76" t="s">
        <v>67</v>
      </c>
      <c r="B25" s="37"/>
      <c r="C25" s="218">
        <v>500</v>
      </c>
      <c r="D25" s="29"/>
      <c r="E25" s="29"/>
      <c r="F25" s="29"/>
      <c r="G25" s="29"/>
      <c r="H25" s="29"/>
      <c r="I25" s="29">
        <v>500</v>
      </c>
      <c r="J25" s="29"/>
      <c r="K25" s="29"/>
      <c r="L25" s="29"/>
      <c r="M25" s="29"/>
      <c r="N25" s="29"/>
      <c r="O25" s="29"/>
      <c r="Q25" s="78">
        <f>+F25</f>
        <v>0</v>
      </c>
      <c r="S25" s="78">
        <f>+L25</f>
        <v>0</v>
      </c>
      <c r="U25" s="7" t="str">
        <f t="shared" si="0"/>
        <v xml:space="preserve"> </v>
      </c>
    </row>
    <row r="26" spans="1:21">
      <c r="A26" s="76" t="s">
        <v>56</v>
      </c>
      <c r="B26" s="37"/>
      <c r="C26" s="218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78"/>
      <c r="S26" s="78"/>
      <c r="U26" s="7" t="str">
        <f t="shared" si="0"/>
        <v xml:space="preserve"> </v>
      </c>
    </row>
    <row r="27" spans="1:21">
      <c r="A27" s="70" t="s">
        <v>45</v>
      </c>
      <c r="B27" s="37"/>
      <c r="C27" s="2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U27" s="7" t="str">
        <f t="shared" si="0"/>
        <v xml:space="preserve"> </v>
      </c>
    </row>
    <row r="28" spans="1:21">
      <c r="A28" s="121" t="s">
        <v>142</v>
      </c>
      <c r="B28" s="28"/>
      <c r="C28" s="219">
        <v>5750</v>
      </c>
      <c r="D28" s="36">
        <v>0</v>
      </c>
      <c r="E28" s="36">
        <v>380.79470198675494</v>
      </c>
      <c r="F28" s="36">
        <v>685.4304635761589</v>
      </c>
      <c r="G28" s="36">
        <v>304.63576158940396</v>
      </c>
      <c r="H28" s="36">
        <v>685.4304635761589</v>
      </c>
      <c r="I28" s="36">
        <v>647.35099337748341</v>
      </c>
      <c r="J28" s="36">
        <v>342.71523178807945</v>
      </c>
      <c r="K28" s="36">
        <v>723.50993377483439</v>
      </c>
      <c r="L28" s="36">
        <v>609.27152317880791</v>
      </c>
      <c r="M28" s="36">
        <v>380.79470198675494</v>
      </c>
      <c r="N28" s="36">
        <v>685.4304635761589</v>
      </c>
      <c r="O28" s="36">
        <v>304.63576158940396</v>
      </c>
      <c r="P28" s="80"/>
      <c r="Q28" s="36">
        <f>+$C$28/4</f>
        <v>1437.5</v>
      </c>
      <c r="R28" s="36">
        <f>+$C$28/4</f>
        <v>1437.5</v>
      </c>
      <c r="S28" s="36">
        <f>+$C$28/4</f>
        <v>1437.5</v>
      </c>
      <c r="T28" s="36">
        <f>+$C$28/4</f>
        <v>1437.5</v>
      </c>
      <c r="U28" s="7" t="str">
        <f t="shared" si="0"/>
        <v xml:space="preserve"> </v>
      </c>
    </row>
    <row r="29" spans="1:21">
      <c r="A29" s="121" t="s">
        <v>143</v>
      </c>
      <c r="B29" s="28"/>
      <c r="C29" s="219">
        <v>546.25</v>
      </c>
      <c r="D29" s="36">
        <v>0</v>
      </c>
      <c r="E29" s="36">
        <v>36.175496688741724</v>
      </c>
      <c r="F29" s="36">
        <v>65.115894039735096</v>
      </c>
      <c r="G29" s="36">
        <v>28.940397350993379</v>
      </c>
      <c r="H29" s="36">
        <v>65.115894039735096</v>
      </c>
      <c r="I29" s="36">
        <v>61.498344370860927</v>
      </c>
      <c r="J29" s="36">
        <v>32.557947019867548</v>
      </c>
      <c r="K29" s="36">
        <v>68.733443708609272</v>
      </c>
      <c r="L29" s="36">
        <v>57.880794701986758</v>
      </c>
      <c r="M29" s="36">
        <v>36.175496688741724</v>
      </c>
      <c r="N29" s="36">
        <v>65.115894039735096</v>
      </c>
      <c r="O29" s="36">
        <v>28.940397350993379</v>
      </c>
      <c r="Q29" s="36">
        <f>+$C$29/4</f>
        <v>136.5625</v>
      </c>
      <c r="R29" s="36">
        <f>+$C$29/4</f>
        <v>136.5625</v>
      </c>
      <c r="S29" s="36">
        <f>+$C$29/4</f>
        <v>136.5625</v>
      </c>
      <c r="T29" s="36">
        <f>+$C$29/4</f>
        <v>136.5625</v>
      </c>
      <c r="U29" s="7" t="str">
        <f t="shared" si="0"/>
        <v xml:space="preserve"> </v>
      </c>
    </row>
    <row r="30" spans="1:21">
      <c r="A30" s="121" t="s">
        <v>145</v>
      </c>
      <c r="B30" s="28"/>
      <c r="C30" s="219">
        <v>319.7</v>
      </c>
      <c r="D30" s="36">
        <v>0</v>
      </c>
      <c r="E30" s="36">
        <v>21.172185430463575</v>
      </c>
      <c r="F30" s="36">
        <v>38.109933774834431</v>
      </c>
      <c r="G30" s="36">
        <v>16.93774834437086</v>
      </c>
      <c r="H30" s="36">
        <v>38.109933774834431</v>
      </c>
      <c r="I30" s="36">
        <v>35.992715231788075</v>
      </c>
      <c r="J30" s="36">
        <v>19.054966887417216</v>
      </c>
      <c r="K30" s="36">
        <v>40.227152317880794</v>
      </c>
      <c r="L30" s="36">
        <v>33.87549668874172</v>
      </c>
      <c r="M30" s="36">
        <v>21.172185430463575</v>
      </c>
      <c r="N30" s="36">
        <v>38.109933774834431</v>
      </c>
      <c r="O30" s="36">
        <v>16.93774834437086</v>
      </c>
      <c r="Q30" s="36"/>
      <c r="R30" s="36"/>
      <c r="S30" s="36"/>
      <c r="T30" s="36"/>
      <c r="U30" s="7" t="str">
        <f t="shared" si="0"/>
        <v xml:space="preserve"> </v>
      </c>
    </row>
    <row r="31" spans="1:21">
      <c r="A31" s="131" t="s">
        <v>0</v>
      </c>
      <c r="B31" s="28"/>
      <c r="C31" s="219">
        <v>165</v>
      </c>
      <c r="D31" s="36">
        <v>0</v>
      </c>
      <c r="E31" s="36">
        <v>10.927152317880795</v>
      </c>
      <c r="F31" s="36">
        <v>19.668874172185429</v>
      </c>
      <c r="G31" s="36">
        <v>8.741721854304636</v>
      </c>
      <c r="H31" s="36">
        <v>19.668874172185429</v>
      </c>
      <c r="I31" s="36">
        <v>18.576158940397352</v>
      </c>
      <c r="J31" s="36">
        <v>9.8344370860927146</v>
      </c>
      <c r="K31" s="36">
        <v>20.76158940397351</v>
      </c>
      <c r="L31" s="36">
        <v>17.483443708609272</v>
      </c>
      <c r="M31" s="36">
        <v>10.927152317880795</v>
      </c>
      <c r="N31" s="36">
        <v>19.668874172185429</v>
      </c>
      <c r="O31" s="36">
        <v>8.741721854304636</v>
      </c>
      <c r="Q31" s="36"/>
      <c r="R31" s="36"/>
      <c r="S31" s="36"/>
      <c r="T31" s="36"/>
      <c r="U31" s="7" t="str">
        <f t="shared" si="0"/>
        <v xml:space="preserve"> </v>
      </c>
    </row>
    <row r="32" spans="1:21">
      <c r="A32" s="131" t="s">
        <v>134</v>
      </c>
      <c r="B32" s="28"/>
      <c r="C32" s="219">
        <v>1500</v>
      </c>
      <c r="D32" s="36">
        <v>0</v>
      </c>
      <c r="E32" s="36">
        <v>99.337748344370866</v>
      </c>
      <c r="F32" s="36">
        <v>178.80794701986756</v>
      </c>
      <c r="G32" s="36">
        <v>79.47019867549669</v>
      </c>
      <c r="H32" s="36">
        <v>178.80794701986756</v>
      </c>
      <c r="I32" s="36">
        <v>168.87417218543047</v>
      </c>
      <c r="J32" s="36">
        <v>89.403973509933778</v>
      </c>
      <c r="K32" s="36">
        <v>188.74172185430464</v>
      </c>
      <c r="L32" s="36">
        <v>158.94039735099338</v>
      </c>
      <c r="M32" s="36">
        <v>99.337748344370866</v>
      </c>
      <c r="N32" s="36">
        <v>178.80794701986756</v>
      </c>
      <c r="O32" s="36">
        <v>79.47019867549669</v>
      </c>
      <c r="Q32" s="36"/>
      <c r="R32" s="36"/>
      <c r="S32" s="36"/>
      <c r="T32" s="36"/>
      <c r="U32" s="7" t="str">
        <f t="shared" si="0"/>
        <v xml:space="preserve"> </v>
      </c>
    </row>
    <row r="33" spans="1:21">
      <c r="A33" s="131" t="s">
        <v>33</v>
      </c>
      <c r="B33" s="28"/>
      <c r="C33" s="219">
        <v>100</v>
      </c>
      <c r="D33" s="36"/>
      <c r="E33" s="36"/>
      <c r="F33" s="36"/>
      <c r="G33" s="36"/>
      <c r="H33" s="36">
        <v>0</v>
      </c>
      <c r="I33" s="36">
        <v>100</v>
      </c>
      <c r="J33" s="36"/>
      <c r="K33" s="36"/>
      <c r="L33" s="36"/>
      <c r="M33" s="36"/>
      <c r="N33" s="36"/>
      <c r="O33" s="36"/>
      <c r="Q33" s="36"/>
      <c r="R33" s="36"/>
      <c r="S33" s="36"/>
      <c r="T33" s="36"/>
    </row>
    <row r="34" spans="1:21">
      <c r="A34" s="9" t="s">
        <v>3</v>
      </c>
      <c r="B34" s="28"/>
      <c r="C34" s="219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Q34" s="36"/>
      <c r="R34" s="36"/>
      <c r="S34" s="36"/>
      <c r="T34" s="36"/>
      <c r="U34" s="7" t="str">
        <f t="shared" si="0"/>
        <v xml:space="preserve"> </v>
      </c>
    </row>
    <row r="35" spans="1:21" s="32" customFormat="1">
      <c r="A35" s="9" t="s">
        <v>195</v>
      </c>
      <c r="B35" s="28"/>
      <c r="C35" s="219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Q35" s="42">
        <f>+$C$35/4</f>
        <v>0</v>
      </c>
      <c r="R35" s="42">
        <f>+$C$35/4</f>
        <v>0</v>
      </c>
      <c r="S35" s="42">
        <f>+$C$35/4</f>
        <v>0</v>
      </c>
      <c r="T35" s="42">
        <f>+$C$35/4</f>
        <v>0</v>
      </c>
      <c r="U35" s="7" t="str">
        <f t="shared" si="0"/>
        <v xml:space="preserve"> </v>
      </c>
    </row>
    <row r="36" spans="1:21" s="8" customFormat="1">
      <c r="A36" s="65" t="s">
        <v>30</v>
      </c>
      <c r="B36" s="65"/>
      <c r="C36" s="220">
        <v>81082.89</v>
      </c>
      <c r="D36" s="66">
        <v>4825.3450000000003</v>
      </c>
      <c r="E36" s="66">
        <v>5700.1296478025297</v>
      </c>
      <c r="F36" s="66">
        <v>8372.2991842263709</v>
      </c>
      <c r="G36" s="66">
        <v>5324.5872636965687</v>
      </c>
      <c r="H36" s="66">
        <v>7622.2991842263709</v>
      </c>
      <c r="I36" s="66">
        <v>8732.0279921733909</v>
      </c>
      <c r="J36" s="66">
        <v>5459.8584557495487</v>
      </c>
      <c r="K36" s="66">
        <v>8612.570376279351</v>
      </c>
      <c r="L36" s="66">
        <v>7141.7568001204099</v>
      </c>
      <c r="M36" s="66">
        <v>5700.1296478025297</v>
      </c>
      <c r="N36" s="66">
        <v>8372.2991842263709</v>
      </c>
      <c r="O36" s="66">
        <v>5219.5872636965687</v>
      </c>
      <c r="Q36" s="66">
        <f>SUM(Q11:Q35)</f>
        <v>17415.759188741722</v>
      </c>
      <c r="R36" s="66">
        <f>SUM(R11:R35)</f>
        <v>15796.162058498898</v>
      </c>
      <c r="S36" s="66">
        <f>SUM(S11:S35)</f>
        <v>20123.369564017663</v>
      </c>
      <c r="T36" s="66">
        <f>SUM(T11:T35)</f>
        <v>14652.42585540839</v>
      </c>
      <c r="U36" s="7" t="str">
        <f t="shared" si="0"/>
        <v xml:space="preserve"> </v>
      </c>
    </row>
    <row r="37" spans="1:21">
      <c r="C37" s="213"/>
      <c r="D37" s="6"/>
      <c r="E37" s="6"/>
      <c r="F37" s="6"/>
      <c r="G37" s="6"/>
      <c r="H37" s="6"/>
      <c r="I37" s="6"/>
      <c r="J37" s="6"/>
      <c r="K37" s="6"/>
      <c r="L37" s="30"/>
      <c r="M37" s="30"/>
      <c r="N37" s="30"/>
      <c r="O37" s="30"/>
      <c r="U37" s="7" t="str">
        <f t="shared" si="0"/>
        <v xml:space="preserve"> </v>
      </c>
    </row>
    <row r="38" spans="1:21" s="155" customFormat="1" ht="13.5" thickBot="1">
      <c r="A38" s="152" t="s">
        <v>39</v>
      </c>
      <c r="B38" s="152"/>
      <c r="C38" s="215">
        <v>-15083</v>
      </c>
      <c r="D38" s="153">
        <v>-4825.3450000000003</v>
      </c>
      <c r="E38" s="153">
        <v>-1726.6197140276954</v>
      </c>
      <c r="F38" s="153">
        <v>280.01869656833151</v>
      </c>
      <c r="G38" s="153">
        <v>-2145.779316676701</v>
      </c>
      <c r="H38" s="153">
        <v>-469.98130343166849</v>
      </c>
      <c r="I38" s="153">
        <v>-477.06110475617243</v>
      </c>
      <c r="J38" s="153">
        <v>-1883.6995153521975</v>
      </c>
      <c r="K38" s="153">
        <v>437.09849789283362</v>
      </c>
      <c r="L38" s="153">
        <v>-784.14090608067454</v>
      </c>
      <c r="M38" s="153">
        <v>-1726.6197140276954</v>
      </c>
      <c r="N38" s="153">
        <v>280.01869656833151</v>
      </c>
      <c r="O38" s="153">
        <v>-2040.779316676701</v>
      </c>
      <c r="Q38" s="153">
        <f>+D38+E38+F38+G38</f>
        <v>-8417.7253341360647</v>
      </c>
      <c r="R38" s="153">
        <f>+H38+I38</f>
        <v>-947.04240818784092</v>
      </c>
      <c r="S38" s="153">
        <f>+J38+K38+L38</f>
        <v>-2230.7419235400384</v>
      </c>
      <c r="T38" s="153">
        <f>+M38+N38+O38</f>
        <v>-3487.3803341360649</v>
      </c>
      <c r="U38" s="157" t="str">
        <f>IF(ROUND((O38+N38+M38+L38+K38+J38+I38+H38+G38+F38+E38+D38),0)=C38," ","error")</f>
        <v xml:space="preserve"> </v>
      </c>
    </row>
    <row r="39" spans="1:21" s="48" customFormat="1" ht="11.25">
      <c r="A39" s="63"/>
      <c r="B39" s="63"/>
      <c r="C39" s="100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21" customFormat="1">
      <c r="A40" s="39"/>
      <c r="B40" s="39"/>
      <c r="C40" s="101"/>
    </row>
    <row r="41" spans="1:21" customFormat="1">
      <c r="A41" s="24"/>
      <c r="B41" s="24"/>
      <c r="C41" s="135"/>
      <c r="D41" s="135"/>
      <c r="E41" s="137"/>
      <c r="F41" s="136"/>
      <c r="G41" s="51"/>
      <c r="H41" s="136"/>
      <c r="I41" s="35"/>
      <c r="J41" s="52"/>
      <c r="K41" s="53"/>
    </row>
    <row r="42" spans="1:21" customFormat="1">
      <c r="A42" s="6"/>
      <c r="B42" s="6"/>
      <c r="C42" s="50"/>
      <c r="D42" s="50"/>
      <c r="E42" s="50"/>
      <c r="F42" s="54"/>
      <c r="G42" s="51"/>
      <c r="H42" s="51"/>
      <c r="I42" s="35"/>
      <c r="J42" s="40"/>
      <c r="K42" s="55"/>
    </row>
    <row r="43" spans="1:21" customFormat="1">
      <c r="A43" s="49"/>
      <c r="B43" s="6"/>
      <c r="C43" s="50"/>
      <c r="D43" s="50"/>
      <c r="E43" s="50"/>
      <c r="F43" s="54"/>
      <c r="G43" s="56"/>
      <c r="H43" s="56"/>
      <c r="I43" s="35"/>
      <c r="J43" s="171"/>
      <c r="K43" s="55"/>
    </row>
    <row r="44" spans="1:21" customFormat="1">
      <c r="A44" s="75"/>
      <c r="B44" s="41"/>
      <c r="C44" s="139"/>
      <c r="D44" s="77"/>
      <c r="E44" s="138"/>
      <c r="F44" s="56"/>
      <c r="G44" s="56"/>
      <c r="H44" s="56"/>
      <c r="I44" s="35"/>
      <c r="J44" s="40"/>
      <c r="K44" s="57"/>
    </row>
    <row r="45" spans="1:21" customFormat="1">
      <c r="A45" s="64"/>
      <c r="B45" s="64"/>
      <c r="C45" s="58"/>
      <c r="D45" s="58"/>
      <c r="E45" s="59"/>
      <c r="F45" s="58"/>
      <c r="G45" s="59"/>
      <c r="H45" s="59"/>
      <c r="I45" s="35"/>
      <c r="J45" s="6"/>
      <c r="K45" s="49"/>
    </row>
    <row r="46" spans="1:21" customFormat="1">
      <c r="A46" s="39"/>
      <c r="B46" s="39"/>
      <c r="C46" s="101"/>
      <c r="H46" s="35"/>
      <c r="I46" s="35"/>
      <c r="J46" s="25"/>
      <c r="K46" s="25"/>
      <c r="L46" s="2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0" r:id="rId1"/>
  <headerFooter alignWithMargins="0">
    <oddFooter>&amp;L&amp;F, &amp;A&amp;R&amp;D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zoomScaleNormal="100" workbookViewId="0"/>
  </sheetViews>
  <sheetFormatPr defaultRowHeight="12.75"/>
  <cols>
    <col min="1" max="1" width="16.28515625" customWidth="1"/>
    <col min="2" max="2" width="12" customWidth="1"/>
    <col min="3" max="9" width="15.140625" customWidth="1"/>
    <col min="10" max="10" width="12.42578125" customWidth="1"/>
    <col min="14" max="14" width="11.28515625" bestFit="1" customWidth="1"/>
  </cols>
  <sheetData>
    <row r="1" spans="1:9" ht="13.5" thickBot="1"/>
    <row r="2" spans="1:9" s="3" customFormat="1">
      <c r="A2" s="3" t="s">
        <v>109</v>
      </c>
      <c r="B2" s="103" t="s">
        <v>108</v>
      </c>
      <c r="C2" s="104" t="s">
        <v>107</v>
      </c>
      <c r="D2" s="104" t="s">
        <v>35</v>
      </c>
      <c r="E2" s="104" t="s">
        <v>36</v>
      </c>
      <c r="F2" s="104" t="s">
        <v>37</v>
      </c>
      <c r="G2" s="223" t="s">
        <v>12</v>
      </c>
    </row>
    <row r="3" spans="1:9">
      <c r="A3" s="74" t="s">
        <v>106</v>
      </c>
      <c r="B3" s="105"/>
      <c r="C3" s="104">
        <v>19</v>
      </c>
      <c r="D3" s="104">
        <v>9</v>
      </c>
      <c r="E3" s="104">
        <v>10</v>
      </c>
      <c r="F3" s="104">
        <v>9</v>
      </c>
      <c r="G3" s="224">
        <v>47</v>
      </c>
    </row>
    <row r="4" spans="1:9">
      <c r="A4" s="74" t="s">
        <v>105</v>
      </c>
      <c r="B4" s="105"/>
      <c r="C4" s="106">
        <v>8</v>
      </c>
      <c r="D4" s="106">
        <v>4</v>
      </c>
      <c r="E4" s="106">
        <v>4</v>
      </c>
      <c r="F4" s="106">
        <v>4</v>
      </c>
      <c r="G4" s="225">
        <v>20</v>
      </c>
    </row>
    <row r="5" spans="1:9">
      <c r="A5" s="74" t="s">
        <v>104</v>
      </c>
      <c r="B5" s="105"/>
      <c r="C5" s="106">
        <v>11</v>
      </c>
      <c r="D5" s="106">
        <v>5</v>
      </c>
      <c r="E5" s="106">
        <v>6</v>
      </c>
      <c r="F5" s="106">
        <v>5</v>
      </c>
      <c r="G5" s="225">
        <v>27</v>
      </c>
    </row>
    <row r="6" spans="1:9">
      <c r="B6" s="107" t="s">
        <v>58</v>
      </c>
      <c r="C6" s="86"/>
      <c r="D6" s="86"/>
      <c r="E6" s="86"/>
      <c r="F6" s="86"/>
      <c r="G6" s="226"/>
    </row>
    <row r="7" spans="1:9">
      <c r="A7" s="74" t="s">
        <v>103</v>
      </c>
      <c r="B7" s="141">
        <v>45</v>
      </c>
      <c r="C7" s="115"/>
      <c r="D7" s="86"/>
      <c r="E7" s="86"/>
      <c r="F7" s="86"/>
      <c r="G7" s="226"/>
    </row>
    <row r="8" spans="1:9">
      <c r="B8" s="105"/>
      <c r="C8" s="85"/>
      <c r="D8" s="85"/>
      <c r="E8" s="85"/>
      <c r="F8" s="85"/>
      <c r="G8" s="226"/>
    </row>
    <row r="9" spans="1:9">
      <c r="A9" s="3" t="s">
        <v>10</v>
      </c>
      <c r="B9" s="107" t="s">
        <v>102</v>
      </c>
      <c r="C9" s="85"/>
      <c r="D9" s="85"/>
      <c r="E9" s="85"/>
      <c r="F9" s="85"/>
      <c r="G9" s="226"/>
    </row>
    <row r="10" spans="1:9">
      <c r="A10" t="s">
        <v>101</v>
      </c>
      <c r="B10" s="105">
        <v>70</v>
      </c>
      <c r="C10" s="85">
        <v>59850</v>
      </c>
      <c r="D10" s="85">
        <v>28350</v>
      </c>
      <c r="E10" s="85">
        <v>31500</v>
      </c>
      <c r="F10" s="85">
        <v>28350</v>
      </c>
      <c r="G10" s="226">
        <v>148050</v>
      </c>
      <c r="H10" s="140" t="s">
        <v>201</v>
      </c>
    </row>
    <row r="11" spans="1:9">
      <c r="A11" s="74" t="s">
        <v>100</v>
      </c>
      <c r="B11" s="105">
        <v>25</v>
      </c>
      <c r="C11" s="85">
        <v>0</v>
      </c>
      <c r="D11" s="85">
        <v>0</v>
      </c>
      <c r="E11" s="85">
        <v>0</v>
      </c>
      <c r="F11" s="85">
        <v>0</v>
      </c>
      <c r="G11" s="226">
        <v>0</v>
      </c>
      <c r="H11" s="140" t="s">
        <v>201</v>
      </c>
    </row>
    <row r="12" spans="1:9">
      <c r="B12" s="105"/>
      <c r="C12" s="85"/>
      <c r="D12" s="85"/>
      <c r="E12" s="85"/>
      <c r="F12" s="85"/>
      <c r="G12" s="226"/>
      <c r="H12" s="140" t="s">
        <v>201</v>
      </c>
    </row>
    <row r="13" spans="1:9">
      <c r="A13" s="74" t="s">
        <v>99</v>
      </c>
      <c r="B13" s="105">
        <v>45</v>
      </c>
      <c r="C13" s="85">
        <v>16200</v>
      </c>
      <c r="D13" s="85">
        <v>8100</v>
      </c>
      <c r="E13" s="85">
        <v>8100</v>
      </c>
      <c r="F13" s="85">
        <v>8100</v>
      </c>
      <c r="G13" s="226">
        <v>40500</v>
      </c>
      <c r="H13" s="140" t="s">
        <v>201</v>
      </c>
      <c r="I13" s="169"/>
    </row>
    <row r="14" spans="1:9">
      <c r="A14" s="74"/>
      <c r="B14" s="105"/>
      <c r="C14" s="85"/>
      <c r="D14" s="85"/>
      <c r="E14" s="85"/>
      <c r="F14" s="85"/>
      <c r="G14" s="226"/>
      <c r="H14" s="140" t="s">
        <v>201</v>
      </c>
    </row>
    <row r="15" spans="1:9">
      <c r="B15" s="105"/>
      <c r="C15" s="85"/>
      <c r="D15" s="85"/>
      <c r="E15" s="85"/>
      <c r="F15" s="85"/>
      <c r="G15" s="226"/>
      <c r="H15" s="140" t="s">
        <v>201</v>
      </c>
    </row>
    <row r="16" spans="1:9" s="3" customFormat="1">
      <c r="A16" s="3" t="s">
        <v>98</v>
      </c>
      <c r="B16" s="108"/>
      <c r="C16" s="84">
        <v>76050</v>
      </c>
      <c r="D16" s="84">
        <v>36450</v>
      </c>
      <c r="E16" s="84">
        <v>39600</v>
      </c>
      <c r="F16" s="84">
        <v>36450</v>
      </c>
      <c r="G16" s="229">
        <v>188550</v>
      </c>
      <c r="H16" s="140" t="s">
        <v>201</v>
      </c>
    </row>
    <row r="17" spans="1:10">
      <c r="B17" s="105"/>
      <c r="C17" s="85"/>
      <c r="D17" s="85"/>
      <c r="E17" s="85"/>
      <c r="F17" s="85"/>
      <c r="G17" s="226"/>
      <c r="H17" s="140" t="s">
        <v>201</v>
      </c>
    </row>
    <row r="18" spans="1:10">
      <c r="A18" s="3" t="s">
        <v>9</v>
      </c>
      <c r="B18" s="105"/>
      <c r="C18" s="85"/>
      <c r="D18" s="85"/>
      <c r="E18" s="85"/>
      <c r="F18" s="85"/>
      <c r="G18" s="226"/>
      <c r="H18" s="140" t="s">
        <v>201</v>
      </c>
    </row>
    <row r="19" spans="1:10">
      <c r="A19" s="60" t="s">
        <v>45</v>
      </c>
      <c r="B19" s="107" t="s">
        <v>97</v>
      </c>
      <c r="C19" s="85"/>
      <c r="D19" s="85"/>
      <c r="E19" s="85"/>
      <c r="F19" s="85"/>
      <c r="G19" s="226"/>
      <c r="H19" s="140" t="s">
        <v>201</v>
      </c>
    </row>
    <row r="20" spans="1:10">
      <c r="A20" s="121" t="s">
        <v>142</v>
      </c>
      <c r="B20" s="114"/>
      <c r="C20" s="164">
        <v>13000</v>
      </c>
      <c r="D20" s="164">
        <v>7000</v>
      </c>
      <c r="E20" s="164">
        <v>7000</v>
      </c>
      <c r="F20" s="164">
        <v>7000</v>
      </c>
      <c r="G20" s="227">
        <v>34000</v>
      </c>
      <c r="H20" s="222"/>
    </row>
    <row r="21" spans="1:10">
      <c r="A21" s="121" t="s">
        <v>143</v>
      </c>
      <c r="B21" s="114"/>
      <c r="C21" s="85">
        <v>1235</v>
      </c>
      <c r="D21" s="85">
        <v>665</v>
      </c>
      <c r="E21" s="85">
        <v>665</v>
      </c>
      <c r="F21" s="85">
        <v>665</v>
      </c>
      <c r="G21" s="226">
        <v>3230</v>
      </c>
      <c r="H21" s="222"/>
    </row>
    <row r="22" spans="1:10">
      <c r="A22" s="121" t="s">
        <v>145</v>
      </c>
      <c r="B22" s="114"/>
      <c r="C22" s="85">
        <v>715</v>
      </c>
      <c r="D22" s="85">
        <v>385</v>
      </c>
      <c r="E22" s="85">
        <v>385</v>
      </c>
      <c r="F22" s="85">
        <v>385</v>
      </c>
      <c r="G22" s="226">
        <v>1870</v>
      </c>
      <c r="H22" s="140"/>
    </row>
    <row r="23" spans="1:10">
      <c r="A23" s="131" t="s">
        <v>0</v>
      </c>
      <c r="B23" s="114"/>
      <c r="C23" s="85">
        <v>133.40425531914892</v>
      </c>
      <c r="D23" s="85">
        <v>63.191489361702125</v>
      </c>
      <c r="E23" s="85">
        <v>70.212765957446805</v>
      </c>
      <c r="F23" s="85">
        <v>63.191489361702125</v>
      </c>
      <c r="G23" s="226">
        <v>330</v>
      </c>
      <c r="H23" s="140"/>
    </row>
    <row r="24" spans="1:10">
      <c r="A24" s="131" t="s">
        <v>134</v>
      </c>
      <c r="B24" s="114"/>
      <c r="C24" s="85">
        <v>1212.7659574468084</v>
      </c>
      <c r="D24" s="85">
        <v>574.468085106383</v>
      </c>
      <c r="E24" s="85">
        <v>638.29787234042556</v>
      </c>
      <c r="F24" s="85">
        <v>574.468085106383</v>
      </c>
      <c r="G24" s="226">
        <v>3000</v>
      </c>
      <c r="H24" s="140"/>
      <c r="I24" s="8"/>
      <c r="J24" s="7"/>
    </row>
    <row r="25" spans="1:10">
      <c r="A25" s="131" t="s">
        <v>33</v>
      </c>
      <c r="B25" s="114"/>
      <c r="C25" s="85"/>
      <c r="D25" s="85"/>
      <c r="E25" s="85">
        <v>200</v>
      </c>
      <c r="F25" s="85"/>
      <c r="G25" s="226">
        <v>200</v>
      </c>
      <c r="H25" s="140"/>
      <c r="I25" s="7"/>
      <c r="J25" s="7"/>
    </row>
    <row r="26" spans="1:10">
      <c r="A26" s="9" t="s">
        <v>3</v>
      </c>
      <c r="B26" s="114"/>
      <c r="C26" s="85">
        <v>1443.191489361702</v>
      </c>
      <c r="D26" s="85">
        <v>683.61702127659578</v>
      </c>
      <c r="E26" s="85">
        <v>759.57446808510645</v>
      </c>
      <c r="F26" s="85">
        <v>683.61702127659578</v>
      </c>
      <c r="G26" s="226">
        <v>3570</v>
      </c>
      <c r="H26" s="140"/>
      <c r="I26" s="119"/>
      <c r="J26" s="7"/>
    </row>
    <row r="27" spans="1:10">
      <c r="A27" s="9" t="s">
        <v>195</v>
      </c>
      <c r="B27" s="114"/>
      <c r="C27" s="85">
        <v>194.84360976605956</v>
      </c>
      <c r="D27" s="85">
        <v>92.294341468133481</v>
      </c>
      <c r="E27" s="85">
        <v>102.54926829792609</v>
      </c>
      <c r="F27" s="85">
        <v>92.294341468133481</v>
      </c>
      <c r="G27" s="226">
        <v>481.98156100025261</v>
      </c>
      <c r="H27" s="140"/>
      <c r="I27" s="176"/>
      <c r="J27" s="119"/>
    </row>
    <row r="28" spans="1:10">
      <c r="B28" s="105"/>
      <c r="C28" s="85"/>
      <c r="D28" s="85"/>
      <c r="E28" s="85"/>
      <c r="F28" s="85"/>
      <c r="G28" s="226"/>
      <c r="H28" s="140"/>
      <c r="I28" s="7"/>
      <c r="J28" s="7"/>
    </row>
    <row r="29" spans="1:10">
      <c r="A29" s="3" t="s">
        <v>132</v>
      </c>
      <c r="B29" s="105"/>
      <c r="C29" s="85"/>
      <c r="D29" s="85"/>
      <c r="E29" s="85"/>
      <c r="F29" s="85"/>
      <c r="G29" s="226"/>
      <c r="H29" s="140"/>
      <c r="I29" s="119"/>
      <c r="J29" s="7"/>
    </row>
    <row r="30" spans="1:10">
      <c r="A30" s="116" t="s">
        <v>26</v>
      </c>
      <c r="B30" s="105"/>
      <c r="C30" s="175">
        <v>34132.8675</v>
      </c>
      <c r="D30" s="175">
        <v>16236.474999999999</v>
      </c>
      <c r="E30" s="175">
        <v>16009.93</v>
      </c>
      <c r="F30" s="175">
        <v>16236.474999999999</v>
      </c>
      <c r="G30" s="226">
        <v>82615.747499999998</v>
      </c>
      <c r="H30" s="151"/>
      <c r="I30" s="176"/>
      <c r="J30" s="7"/>
    </row>
    <row r="31" spans="1:10">
      <c r="A31" s="116" t="s">
        <v>40</v>
      </c>
      <c r="B31" s="105"/>
      <c r="C31" s="85">
        <v>3242.6224124999999</v>
      </c>
      <c r="D31" s="85">
        <v>1542.4651249999999</v>
      </c>
      <c r="E31" s="85">
        <v>1520.94335</v>
      </c>
      <c r="F31" s="85">
        <v>1542.4651249999999</v>
      </c>
      <c r="G31" s="226">
        <v>7848.4960124999989</v>
      </c>
      <c r="H31" s="140"/>
      <c r="I31" s="7"/>
      <c r="J31" s="7"/>
    </row>
    <row r="32" spans="1:10">
      <c r="A32" s="116" t="s">
        <v>149</v>
      </c>
      <c r="B32" s="105"/>
      <c r="C32" s="85">
        <v>1897.787433</v>
      </c>
      <c r="D32" s="85">
        <v>902.74800999999979</v>
      </c>
      <c r="E32" s="85">
        <v>890.152108</v>
      </c>
      <c r="F32" s="85">
        <v>902.74800999999979</v>
      </c>
      <c r="G32" s="226">
        <v>4593.4355610000002</v>
      </c>
      <c r="H32" s="140"/>
      <c r="I32" s="119"/>
      <c r="J32" s="7"/>
    </row>
    <row r="33" spans="1:10">
      <c r="B33" s="105"/>
      <c r="C33" s="85"/>
      <c r="D33" s="85"/>
      <c r="E33" s="85"/>
      <c r="F33" s="85"/>
      <c r="G33" s="226"/>
      <c r="H33" s="140"/>
      <c r="I33" s="176"/>
      <c r="J33" s="7"/>
    </row>
    <row r="34" spans="1:10">
      <c r="B34" s="105"/>
      <c r="C34" s="85"/>
      <c r="D34" s="85"/>
      <c r="E34" s="85"/>
      <c r="F34" s="85"/>
      <c r="G34" s="226"/>
      <c r="H34" s="140"/>
      <c r="I34" s="7"/>
      <c r="J34" s="7"/>
    </row>
    <row r="35" spans="1:10">
      <c r="A35" s="74"/>
      <c r="B35" s="109" t="s">
        <v>96</v>
      </c>
      <c r="C35" s="85"/>
      <c r="D35" s="85"/>
      <c r="E35" s="85"/>
      <c r="F35" s="85"/>
      <c r="G35" s="226"/>
      <c r="H35" s="140"/>
      <c r="I35" s="119"/>
      <c r="J35" s="7"/>
    </row>
    <row r="36" spans="1:10">
      <c r="A36" s="74" t="s">
        <v>95</v>
      </c>
      <c r="B36" s="105">
        <v>1.5</v>
      </c>
      <c r="C36" s="85">
        <v>1282.5</v>
      </c>
      <c r="D36" s="85">
        <v>607.5</v>
      </c>
      <c r="E36" s="85">
        <v>675</v>
      </c>
      <c r="F36" s="85">
        <v>607.5</v>
      </c>
      <c r="G36" s="226">
        <v>3172.5</v>
      </c>
      <c r="H36" s="140"/>
      <c r="I36" s="7"/>
      <c r="J36" s="7"/>
    </row>
    <row r="37" spans="1:10">
      <c r="A37" s="74" t="s">
        <v>94</v>
      </c>
      <c r="B37" s="105">
        <v>2</v>
      </c>
      <c r="C37" s="85">
        <v>1710</v>
      </c>
      <c r="D37" s="85">
        <v>810</v>
      </c>
      <c r="E37" s="85">
        <v>900</v>
      </c>
      <c r="F37" s="85">
        <v>810</v>
      </c>
      <c r="G37" s="226">
        <v>4230</v>
      </c>
      <c r="H37" s="140"/>
      <c r="I37" s="7"/>
      <c r="J37" s="7"/>
    </row>
    <row r="38" spans="1:10">
      <c r="A38" s="74" t="s">
        <v>115</v>
      </c>
      <c r="B38" s="105"/>
      <c r="C38" s="85"/>
      <c r="D38" s="85"/>
      <c r="E38" s="85"/>
      <c r="F38" s="85"/>
      <c r="G38" s="226">
        <v>0</v>
      </c>
      <c r="H38" s="140"/>
      <c r="I38" s="119"/>
      <c r="J38" s="7"/>
    </row>
    <row r="39" spans="1:10">
      <c r="B39" s="105"/>
      <c r="C39" s="85"/>
      <c r="D39" s="85"/>
      <c r="E39" s="85"/>
      <c r="F39" s="85"/>
      <c r="G39" s="226"/>
      <c r="H39" s="140"/>
      <c r="I39" s="176"/>
      <c r="J39" s="7"/>
    </row>
    <row r="40" spans="1:10">
      <c r="A40" s="60" t="s">
        <v>93</v>
      </c>
      <c r="B40" s="105"/>
      <c r="C40" s="85"/>
      <c r="D40" s="85"/>
      <c r="E40" s="85"/>
      <c r="F40" s="85"/>
      <c r="G40" s="226"/>
      <c r="H40" s="140"/>
      <c r="I40" s="7"/>
      <c r="J40" s="7"/>
    </row>
    <row r="41" spans="1:10">
      <c r="A41" s="74" t="s">
        <v>92</v>
      </c>
      <c r="B41" s="105">
        <v>350</v>
      </c>
      <c r="C41" s="85">
        <v>2800</v>
      </c>
      <c r="D41" s="85">
        <v>1400</v>
      </c>
      <c r="E41" s="85">
        <v>1400</v>
      </c>
      <c r="F41" s="85">
        <v>1400</v>
      </c>
      <c r="G41" s="226">
        <v>7000</v>
      </c>
      <c r="H41" s="140"/>
      <c r="I41" s="119"/>
      <c r="J41" s="7"/>
    </row>
    <row r="42" spans="1:10">
      <c r="A42" s="116" t="s">
        <v>197</v>
      </c>
      <c r="B42" s="110">
        <v>30</v>
      </c>
      <c r="C42" s="85">
        <v>10800</v>
      </c>
      <c r="D42" s="85">
        <v>5400</v>
      </c>
      <c r="E42" s="85">
        <v>5400</v>
      </c>
      <c r="F42" s="85">
        <v>5400</v>
      </c>
      <c r="G42" s="226">
        <v>27000</v>
      </c>
      <c r="H42" s="140"/>
      <c r="I42" s="236"/>
      <c r="J42" s="7"/>
    </row>
    <row r="43" spans="1:10">
      <c r="A43" s="116"/>
      <c r="B43" s="7"/>
      <c r="C43" s="85"/>
      <c r="D43" s="85"/>
      <c r="E43" s="85"/>
      <c r="F43" s="85"/>
      <c r="G43" s="226"/>
      <c r="H43" s="140"/>
      <c r="I43" s="7"/>
      <c r="J43" s="7"/>
    </row>
    <row r="44" spans="1:10" s="3" customFormat="1">
      <c r="A44" s="3" t="s">
        <v>91</v>
      </c>
      <c r="C44" s="84">
        <v>73799.982657393717</v>
      </c>
      <c r="D44" s="84">
        <v>36362.759072212808</v>
      </c>
      <c r="E44" s="84">
        <v>36616.659832680903</v>
      </c>
      <c r="F44" s="84">
        <v>36362.759072212808</v>
      </c>
      <c r="G44" s="229">
        <v>183142.16063450024</v>
      </c>
      <c r="H44" s="140" t="s">
        <v>201</v>
      </c>
      <c r="I44" s="119"/>
      <c r="J44" s="8"/>
    </row>
    <row r="45" spans="1:10">
      <c r="G45" s="228"/>
      <c r="H45" s="140" t="s">
        <v>201</v>
      </c>
      <c r="I45" s="7"/>
      <c r="J45" s="7"/>
    </row>
    <row r="46" spans="1:10" s="158" customFormat="1" ht="13.5" thickBot="1">
      <c r="A46" s="158" t="s">
        <v>90</v>
      </c>
      <c r="C46" s="158">
        <v>2250.0173426062829</v>
      </c>
      <c r="D46" s="158">
        <v>87.240927787192049</v>
      </c>
      <c r="E46" s="158">
        <v>2983.3401673190965</v>
      </c>
      <c r="F46" s="158">
        <v>87.240927787192049</v>
      </c>
      <c r="G46" s="230">
        <v>5407.8393654997635</v>
      </c>
      <c r="H46" s="159" t="s">
        <v>201</v>
      </c>
    </row>
    <row r="47" spans="1:10">
      <c r="I47" s="168" t="s">
        <v>229</v>
      </c>
    </row>
    <row r="49" spans="1:1">
      <c r="A49" s="3"/>
    </row>
  </sheetData>
  <pageMargins left="0.70866141732283472" right="0.70866141732283472" top="0.23622047244094491" bottom="0.35433070866141736" header="0.31496062992125984" footer="0.11811023622047245"/>
  <pageSetup paperSize="9" scale="96" orientation="landscape" horizontalDpi="4294967293" verticalDpi="0" r:id="rId1"/>
  <headerFooter>
    <oddFooter>&amp;L&amp;F&amp;R&amp;D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Normal="100" workbookViewId="0">
      <selection activeCell="F34" sqref="F34"/>
    </sheetView>
  </sheetViews>
  <sheetFormatPr defaultRowHeight="12.75"/>
  <cols>
    <col min="1" max="1" width="25.7109375" customWidth="1"/>
    <col min="2" max="2" width="12.140625" style="87" bestFit="1" customWidth="1"/>
    <col min="3" max="12" width="10.5703125" bestFit="1" customWidth="1"/>
    <col min="13" max="13" width="10.42578125" bestFit="1" customWidth="1"/>
    <col min="14" max="14" width="10.5703125" bestFit="1" customWidth="1"/>
    <col min="15" max="15" width="9.42578125" bestFit="1" customWidth="1"/>
  </cols>
  <sheetData>
    <row r="1" spans="1:15">
      <c r="B1" s="231" t="s">
        <v>113</v>
      </c>
      <c r="C1" s="116" t="s">
        <v>73</v>
      </c>
      <c r="D1" s="116" t="s">
        <v>74</v>
      </c>
      <c r="E1" s="116" t="s">
        <v>75</v>
      </c>
      <c r="F1" s="116" t="s">
        <v>76</v>
      </c>
      <c r="G1" s="116" t="s">
        <v>77</v>
      </c>
      <c r="H1" s="116" t="s">
        <v>169</v>
      </c>
      <c r="I1" s="116" t="s">
        <v>170</v>
      </c>
      <c r="J1" s="116" t="s">
        <v>80</v>
      </c>
      <c r="K1" s="116" t="s">
        <v>171</v>
      </c>
      <c r="L1" s="116" t="s">
        <v>82</v>
      </c>
      <c r="M1" s="116" t="s">
        <v>83</v>
      </c>
      <c r="N1" s="116" t="s">
        <v>84</v>
      </c>
    </row>
    <row r="2" spans="1:15">
      <c r="A2" s="3" t="s">
        <v>10</v>
      </c>
      <c r="B2" s="232"/>
    </row>
    <row r="3" spans="1:15">
      <c r="A3" s="74" t="s">
        <v>110</v>
      </c>
      <c r="B3" s="232">
        <v>44000</v>
      </c>
      <c r="C3" s="87">
        <v>8800</v>
      </c>
      <c r="D3" s="87">
        <v>2200</v>
      </c>
      <c r="E3" s="87">
        <v>2200</v>
      </c>
      <c r="F3" s="87">
        <v>2200</v>
      </c>
      <c r="G3" s="87">
        <v>8800</v>
      </c>
      <c r="H3" s="87">
        <v>2200</v>
      </c>
      <c r="I3" s="87">
        <v>2200</v>
      </c>
      <c r="J3" s="87">
        <v>2200</v>
      </c>
      <c r="K3" s="87">
        <v>2200</v>
      </c>
      <c r="L3" s="87">
        <v>2200</v>
      </c>
      <c r="M3" s="142">
        <v>4400</v>
      </c>
      <c r="N3" s="142">
        <v>4400</v>
      </c>
      <c r="O3" s="148"/>
    </row>
    <row r="4" spans="1:15">
      <c r="A4" s="116" t="s">
        <v>150</v>
      </c>
      <c r="B4" s="2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87"/>
      <c r="O4" s="148"/>
    </row>
    <row r="5" spans="1:15">
      <c r="A5" s="3" t="s">
        <v>98</v>
      </c>
      <c r="B5" s="234">
        <v>44000</v>
      </c>
      <c r="C5" s="88">
        <v>8800</v>
      </c>
      <c r="D5" s="88">
        <v>2200</v>
      </c>
      <c r="E5" s="88">
        <v>2200</v>
      </c>
      <c r="F5" s="88">
        <v>2200</v>
      </c>
      <c r="G5" s="88">
        <v>8800</v>
      </c>
      <c r="H5" s="88">
        <v>2200</v>
      </c>
      <c r="I5" s="88">
        <v>2200</v>
      </c>
      <c r="J5" s="88">
        <v>2200</v>
      </c>
      <c r="K5" s="88">
        <v>2200</v>
      </c>
      <c r="L5" s="88">
        <v>2200</v>
      </c>
      <c r="M5" s="88">
        <v>4400</v>
      </c>
      <c r="N5" s="88">
        <v>4400</v>
      </c>
      <c r="O5" s="148"/>
    </row>
    <row r="6" spans="1:15">
      <c r="B6" s="232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48"/>
    </row>
    <row r="7" spans="1:15">
      <c r="A7" s="3" t="s">
        <v>9</v>
      </c>
      <c r="B7" s="23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148"/>
    </row>
    <row r="8" spans="1:15">
      <c r="B8" s="232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148"/>
    </row>
    <row r="9" spans="1:15">
      <c r="A9" s="74" t="s">
        <v>111</v>
      </c>
      <c r="B9" s="232">
        <v>30000</v>
      </c>
      <c r="C9" s="147">
        <v>6000</v>
      </c>
      <c r="D9" s="87">
        <v>1500</v>
      </c>
      <c r="E9" s="87">
        <v>1500</v>
      </c>
      <c r="F9" s="87">
        <v>1500</v>
      </c>
      <c r="G9" s="87">
        <v>6000</v>
      </c>
      <c r="H9" s="87">
        <v>1500</v>
      </c>
      <c r="I9" s="87">
        <v>1500</v>
      </c>
      <c r="J9" s="87">
        <v>1500</v>
      </c>
      <c r="K9" s="87">
        <v>1500</v>
      </c>
      <c r="L9" s="87">
        <v>1500</v>
      </c>
      <c r="M9" s="87">
        <v>3000</v>
      </c>
      <c r="N9" s="87">
        <v>3000</v>
      </c>
      <c r="O9" s="148"/>
    </row>
    <row r="10" spans="1:15">
      <c r="A10" s="74" t="s">
        <v>125</v>
      </c>
      <c r="B10" s="232">
        <v>6000</v>
      </c>
      <c r="C10" s="87">
        <v>360</v>
      </c>
      <c r="D10" s="87">
        <v>600</v>
      </c>
      <c r="E10" s="87">
        <v>600</v>
      </c>
      <c r="F10" s="87">
        <v>300</v>
      </c>
      <c r="G10" s="87">
        <v>600</v>
      </c>
      <c r="H10" s="87">
        <v>600</v>
      </c>
      <c r="I10" s="87">
        <v>300</v>
      </c>
      <c r="J10" s="87">
        <v>600</v>
      </c>
      <c r="K10" s="87">
        <v>600</v>
      </c>
      <c r="L10" s="87">
        <v>240</v>
      </c>
      <c r="M10" s="87">
        <v>600</v>
      </c>
      <c r="N10" s="87">
        <v>600</v>
      </c>
      <c r="O10" s="148"/>
    </row>
    <row r="11" spans="1:15">
      <c r="A11" s="116" t="s">
        <v>122</v>
      </c>
      <c r="B11" s="233">
        <v>570</v>
      </c>
      <c r="C11" s="87">
        <v>34.200000000000003</v>
      </c>
      <c r="D11" s="87">
        <v>57</v>
      </c>
      <c r="E11" s="87">
        <v>57</v>
      </c>
      <c r="F11" s="87">
        <v>28.5</v>
      </c>
      <c r="G11" s="87">
        <v>57</v>
      </c>
      <c r="H11" s="87">
        <v>57</v>
      </c>
      <c r="I11" s="87">
        <v>28.5</v>
      </c>
      <c r="J11" s="87">
        <v>57</v>
      </c>
      <c r="K11" s="87">
        <v>57</v>
      </c>
      <c r="L11" s="87">
        <v>22.8</v>
      </c>
      <c r="M11" s="87">
        <v>57</v>
      </c>
      <c r="N11" s="87">
        <v>57</v>
      </c>
      <c r="O11" s="148"/>
    </row>
    <row r="12" spans="1:15">
      <c r="A12" s="74" t="s">
        <v>126</v>
      </c>
      <c r="B12" s="232">
        <v>333.59999999999997</v>
      </c>
      <c r="C12" s="87">
        <v>20.015999999999998</v>
      </c>
      <c r="D12" s="87">
        <v>33.36</v>
      </c>
      <c r="E12" s="87">
        <v>33.36</v>
      </c>
      <c r="F12" s="87">
        <v>16.68</v>
      </c>
      <c r="G12" s="87">
        <v>33.36</v>
      </c>
      <c r="H12" s="87">
        <v>33.36</v>
      </c>
      <c r="I12" s="87">
        <v>16.68</v>
      </c>
      <c r="J12" s="87">
        <v>33.36</v>
      </c>
      <c r="K12" s="87">
        <v>33.36</v>
      </c>
      <c r="L12" s="87">
        <v>13.343999999999999</v>
      </c>
      <c r="M12" s="87">
        <v>33.36</v>
      </c>
      <c r="N12" s="87">
        <v>33.36</v>
      </c>
      <c r="O12" s="148"/>
    </row>
    <row r="13" spans="1:15">
      <c r="A13" s="74" t="s">
        <v>112</v>
      </c>
      <c r="B13" s="232">
        <v>400</v>
      </c>
      <c r="C13" s="87">
        <v>33.333333333333336</v>
      </c>
      <c r="D13" s="87">
        <v>33.333333333333336</v>
      </c>
      <c r="E13" s="87">
        <v>33.333333333333336</v>
      </c>
      <c r="F13" s="87">
        <v>33.333333333333336</v>
      </c>
      <c r="G13" s="87">
        <v>33.333333333333336</v>
      </c>
      <c r="H13" s="87">
        <v>33.333333333333336</v>
      </c>
      <c r="I13" s="87">
        <v>33.333333333333336</v>
      </c>
      <c r="J13" s="87">
        <v>33.333333333333336</v>
      </c>
      <c r="K13" s="87">
        <v>33.333333333333336</v>
      </c>
      <c r="L13" s="87">
        <v>33.333333333333336</v>
      </c>
      <c r="M13" s="87">
        <v>33.333333333333336</v>
      </c>
      <c r="N13" s="87">
        <v>33.333333333333336</v>
      </c>
      <c r="O13" s="148"/>
    </row>
    <row r="14" spans="1:15" hidden="1">
      <c r="A14" s="116" t="s">
        <v>129</v>
      </c>
      <c r="B14" s="23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48"/>
    </row>
    <row r="15" spans="1:15">
      <c r="A15" s="116" t="s">
        <v>151</v>
      </c>
      <c r="B15" s="232">
        <v>150</v>
      </c>
      <c r="C15" s="87">
        <v>50</v>
      </c>
      <c r="D15" s="87">
        <v>0</v>
      </c>
      <c r="E15" s="87">
        <v>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148"/>
    </row>
    <row r="16" spans="1:15">
      <c r="B16" s="23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48"/>
    </row>
    <row r="17" spans="1:15">
      <c r="A17" s="60" t="s">
        <v>45</v>
      </c>
      <c r="B17" s="232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148"/>
    </row>
    <row r="18" spans="1:15">
      <c r="A18" s="121" t="s">
        <v>142</v>
      </c>
      <c r="B18" s="232">
        <v>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48"/>
    </row>
    <row r="19" spans="1:15">
      <c r="A19" s="121" t="s">
        <v>143</v>
      </c>
      <c r="B19" s="232">
        <v>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48"/>
    </row>
    <row r="20" spans="1:15">
      <c r="A20" s="121" t="s">
        <v>145</v>
      </c>
      <c r="B20" s="232">
        <v>0</v>
      </c>
      <c r="C20" s="87"/>
      <c r="D20" s="87"/>
      <c r="O20" s="148"/>
    </row>
    <row r="21" spans="1:15">
      <c r="A21" s="131" t="s">
        <v>0</v>
      </c>
      <c r="B21" s="232">
        <v>165</v>
      </c>
      <c r="C21" s="87">
        <v>13.75</v>
      </c>
      <c r="D21" s="87">
        <v>13.75</v>
      </c>
      <c r="E21" s="87">
        <v>13.75</v>
      </c>
      <c r="F21" s="87">
        <v>13.75</v>
      </c>
      <c r="G21" s="87">
        <v>13.75</v>
      </c>
      <c r="H21" s="87">
        <v>13.75</v>
      </c>
      <c r="I21" s="87">
        <v>13.75</v>
      </c>
      <c r="J21" s="87">
        <v>13.75</v>
      </c>
      <c r="K21" s="87">
        <v>13.75</v>
      </c>
      <c r="L21" s="87">
        <v>13.75</v>
      </c>
      <c r="M21" s="87">
        <v>13.75</v>
      </c>
      <c r="N21" s="87">
        <v>13.75</v>
      </c>
      <c r="O21" s="148"/>
    </row>
    <row r="22" spans="1:15">
      <c r="A22" s="131" t="s">
        <v>134</v>
      </c>
      <c r="B22" s="232">
        <v>1500</v>
      </c>
      <c r="C22" s="87">
        <v>208.33333333333334</v>
      </c>
      <c r="D22" s="87">
        <v>208.33333333333334</v>
      </c>
      <c r="E22" s="87">
        <v>208.33333333333334</v>
      </c>
      <c r="F22" s="87">
        <v>208.33333333333334</v>
      </c>
      <c r="G22" s="87">
        <v>208.33333333333334</v>
      </c>
      <c r="H22" s="87">
        <v>208.33333333333334</v>
      </c>
      <c r="I22" s="87">
        <v>208.33333333333334</v>
      </c>
      <c r="J22" s="87">
        <v>208.33333333333334</v>
      </c>
      <c r="K22" s="87">
        <v>208.33333333333334</v>
      </c>
      <c r="L22" s="87">
        <v>208.33333333333334</v>
      </c>
      <c r="M22" s="87">
        <v>208.33333333333334</v>
      </c>
      <c r="N22" s="87">
        <v>208.33333333333334</v>
      </c>
      <c r="O22" s="148"/>
    </row>
    <row r="23" spans="1:15">
      <c r="A23" s="131" t="s">
        <v>33</v>
      </c>
      <c r="B23" s="232">
        <v>100</v>
      </c>
      <c r="C23" s="87">
        <v>8.3333333333333339</v>
      </c>
      <c r="D23" s="87">
        <v>8.3333333333333339</v>
      </c>
      <c r="E23" s="87">
        <v>8.3333333333333339</v>
      </c>
      <c r="F23" s="87">
        <v>8.3333333333333339</v>
      </c>
      <c r="G23" s="87">
        <v>8.3333333333333339</v>
      </c>
      <c r="H23" s="87">
        <v>8.3333333333333339</v>
      </c>
      <c r="I23" s="87">
        <v>8.3333333333333339</v>
      </c>
      <c r="J23" s="87">
        <v>8.3333333333333339</v>
      </c>
      <c r="K23" s="87">
        <v>8.3333333333333339</v>
      </c>
      <c r="L23" s="87">
        <v>8.3333333333333339</v>
      </c>
      <c r="M23" s="87">
        <v>8.3333333333333339</v>
      </c>
      <c r="N23" s="87">
        <v>8.3333333333333339</v>
      </c>
      <c r="O23" s="148"/>
    </row>
    <row r="24" spans="1:15">
      <c r="A24" s="9" t="s">
        <v>3</v>
      </c>
      <c r="B24" s="232">
        <v>0</v>
      </c>
      <c r="C24" s="87"/>
      <c r="D24" s="87"/>
      <c r="O24" s="148"/>
    </row>
    <row r="25" spans="1:15">
      <c r="A25" s="9" t="s">
        <v>195</v>
      </c>
      <c r="B25" s="232">
        <v>0</v>
      </c>
      <c r="C25" s="87"/>
      <c r="D25" s="87"/>
      <c r="O25" s="148"/>
    </row>
    <row r="26" spans="1:15">
      <c r="A26" s="74"/>
      <c r="B26" s="232"/>
      <c r="C26" s="87"/>
      <c r="D26" s="87"/>
      <c r="O26" s="148"/>
    </row>
    <row r="27" spans="1:15">
      <c r="B27" s="232"/>
      <c r="C27" s="87"/>
      <c r="D27" s="87"/>
      <c r="O27" s="148"/>
    </row>
    <row r="28" spans="1:15">
      <c r="A28" s="3" t="s">
        <v>91</v>
      </c>
      <c r="B28" s="234">
        <v>39218.6</v>
      </c>
      <c r="C28" s="88">
        <v>6727.9659999999985</v>
      </c>
      <c r="D28" s="88">
        <v>2454.1100000000006</v>
      </c>
      <c r="E28" s="88">
        <v>2454.1100000000006</v>
      </c>
      <c r="F28" s="88">
        <v>2108.9300000000003</v>
      </c>
      <c r="G28" s="88">
        <v>7054.1099999999988</v>
      </c>
      <c r="H28" s="88">
        <v>2454.1100000000006</v>
      </c>
      <c r="I28" s="88">
        <v>2108.9300000000003</v>
      </c>
      <c r="J28" s="88">
        <v>2454.1100000000006</v>
      </c>
      <c r="K28" s="88">
        <v>2454.1100000000006</v>
      </c>
      <c r="L28" s="88">
        <v>2039.8939999999998</v>
      </c>
      <c r="M28" s="88">
        <v>3954.1100000000006</v>
      </c>
      <c r="N28" s="88">
        <v>3954.1100000000006</v>
      </c>
      <c r="O28" s="148"/>
    </row>
    <row r="29" spans="1:15">
      <c r="A29" s="3"/>
      <c r="B29" s="232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148"/>
    </row>
    <row r="30" spans="1:15" ht="13.5" thickBot="1">
      <c r="A30" s="3" t="s">
        <v>90</v>
      </c>
      <c r="B30" s="235">
        <v>4781.4000000000015</v>
      </c>
      <c r="C30" s="88">
        <v>2072.0340000000015</v>
      </c>
      <c r="D30" s="88">
        <v>-254.11000000000058</v>
      </c>
      <c r="E30" s="88">
        <v>-254.11000000000058</v>
      </c>
      <c r="F30" s="88">
        <v>91.069999999999709</v>
      </c>
      <c r="G30" s="88">
        <v>1745.8900000000012</v>
      </c>
      <c r="H30" s="88">
        <v>-254.11000000000058</v>
      </c>
      <c r="I30" s="88">
        <v>91.069999999999709</v>
      </c>
      <c r="J30" s="88">
        <v>-254.11000000000058</v>
      </c>
      <c r="K30" s="88">
        <v>-254.11000000000058</v>
      </c>
      <c r="L30" s="88">
        <v>160.10600000000022</v>
      </c>
      <c r="M30" s="88">
        <v>445.88999999999942</v>
      </c>
      <c r="N30" s="88">
        <v>445.88999999999942</v>
      </c>
      <c r="O30" s="148"/>
    </row>
    <row r="33" spans="1:2">
      <c r="A33" s="3"/>
    </row>
    <row r="34" spans="1:2">
      <c r="B34" s="173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4294967293" verticalDpi="0" r:id="rId1"/>
  <headerFooter>
    <oddFooter>&amp;L&amp;F, &amp;A&amp;C&amp;D&amp;R&amp;P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budget summary 2018</vt:lpstr>
      <vt:lpstr>BASC  </vt:lpstr>
      <vt:lpstr>FASA </vt:lpstr>
      <vt:lpstr>Canteen </vt:lpstr>
      <vt:lpstr>VAC</vt:lpstr>
      <vt:lpstr>Uniform</vt:lpstr>
      <vt:lpstr>Sheet1</vt:lpstr>
      <vt:lpstr>'BASC  '!Print_Area</vt:lpstr>
      <vt:lpstr>'budget summary 2018'!Print_Area</vt:lpstr>
      <vt:lpstr>'Canteen '!Print_Area</vt:lpstr>
      <vt:lpstr>VAC!Print_Area</vt:lpstr>
      <vt:lpstr>'budget summary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Raeline</dc:creator>
  <cp:lastModifiedBy>Kate</cp:lastModifiedBy>
  <cp:lastPrinted>2017-11-05T09:36:55Z</cp:lastPrinted>
  <dcterms:created xsi:type="dcterms:W3CDTF">2001-02-06T23:05:33Z</dcterms:created>
  <dcterms:modified xsi:type="dcterms:W3CDTF">2017-11-08T01:58:51Z</dcterms:modified>
</cp:coreProperties>
</file>